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theme/themeOverride1.xml" ContentType="application/vnd.openxmlformats-officedocument.themeOverride+xml"/>
  <Override PartName="/xl/charts/chart4.xml" ContentType="application/vnd.openxmlformats-officedocument.drawingml.chart+xml"/>
  <Override PartName="/xl/drawings/drawing3.xml" ContentType="application/vnd.openxmlformats-officedocument.drawingml.chartshapes+xml"/>
  <Override PartName="/xl/charts/chart5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8.xml" ContentType="application/vnd.openxmlformats-officedocument.drawingml.chart+xml"/>
  <Override PartName="/xl/drawings/drawing5.xml" ContentType="application/vnd.openxmlformats-officedocument.drawingml.chartshapes+xml"/>
  <Override PartName="/xl/charts/chart9.xml" ContentType="application/vnd.openxmlformats-officedocument.drawingml.chart+xml"/>
  <Override PartName="/xl/drawings/drawing6.xml" ContentType="application/vnd.openxmlformats-officedocument.drawingml.chartshapes+xml"/>
  <Override PartName="/xl/charts/chart10.xml" ContentType="application/vnd.openxmlformats-officedocument.drawingml.chart+xml"/>
  <Override PartName="/xl/drawings/drawing7.xml" ContentType="application/vnd.openxmlformats-officedocument.drawingml.chartshapes+xml"/>
  <Override PartName="/xl/charts/chart11.xml" ContentType="application/vnd.openxmlformats-officedocument.drawingml.chart+xml"/>
  <Override PartName="/xl/drawings/drawing8.xml" ContentType="application/vnd.openxmlformats-officedocument.drawingml.chartshapes+xml"/>
  <Override PartName="/xl/charts/chart12.xml" ContentType="application/vnd.openxmlformats-officedocument.drawingml.chart+xml"/>
  <Override PartName="/xl/drawings/drawing9.xml" ContentType="application/vnd.openxmlformats-officedocument.drawingml.chartshapes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drawings/drawing10.xml" ContentType="application/vnd.openxmlformats-officedocument.drawingml.chartshapes+xml"/>
  <Override PartName="/xl/charts/chart15.xml" ContentType="application/vnd.openxmlformats-officedocument.drawingml.chart+xml"/>
  <Override PartName="/xl/drawings/drawing11.xml" ContentType="application/vnd.openxmlformats-officedocument.drawingml.chartshapes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drawings/drawing12.xml" ContentType="application/vnd.openxmlformats-officedocument.drawingml.chartshapes+xml"/>
  <Override PartName="/xl/charts/chart18.xml" ContentType="application/vnd.openxmlformats-officedocument.drawingml.chart+xml"/>
  <Override PartName="/xl/drawings/drawing13.xml" ContentType="application/vnd.openxmlformats-officedocument.drawingml.chartshapes+xml"/>
  <Override PartName="/xl/charts/chart19.xml" ContentType="application/vnd.openxmlformats-officedocument.drawingml.chart+xml"/>
  <Override PartName="/xl/drawings/drawing14.xml" ContentType="application/vnd.openxmlformats-officedocument.drawingml.chartshapes+xml"/>
  <Override PartName="/xl/charts/chart20.xml" ContentType="application/vnd.openxmlformats-officedocument.drawingml.chart+xml"/>
  <Override PartName="/xl/drawings/drawing15.xml" ContentType="application/vnd.openxmlformats-officedocument.drawingml.chartshapes+xml"/>
  <Override PartName="/xl/charts/chart21.xml" ContentType="application/vnd.openxmlformats-officedocument.drawingml.chart+xml"/>
  <Override PartName="/xl/drawings/drawing16.xml" ContentType="application/vnd.openxmlformats-officedocument.drawingml.chartshapes+xml"/>
  <Override PartName="/xl/drawings/drawing17.xml" ContentType="application/vnd.openxmlformats-officedocument.drawing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/>
  <mc:AlternateContent xmlns:mc="http://schemas.openxmlformats.org/markup-compatibility/2006">
    <mc:Choice Requires="x15">
      <x15ac:absPath xmlns:x15ac="http://schemas.microsoft.com/office/spreadsheetml/2010/11/ac" url="https://mincap-my.sharepoint.com/personal/raul_anabalon_cultura_gob_cl/Documents/Documentos/RAM/Año 2023/Informes/Ejecución Presupuestaria/12 Diciembre/"/>
    </mc:Choice>
  </mc:AlternateContent>
  <xr:revisionPtr revIDLastSave="15" documentId="11_350A0208872C027CCA24014C492C399B1DFBE528" xr6:coauthVersionLast="47" xr6:coauthVersionMax="47" xr10:uidLastSave="{74615EC9-DC19-4D34-BFAB-B97700ACB056}"/>
  <bookViews>
    <workbookView xWindow="20370" yWindow="-120" windowWidth="29040" windowHeight="15840" tabRatio="804" xr2:uid="{00000000-000D-0000-FFFF-FFFF00000000}"/>
  </bookViews>
  <sheets>
    <sheet name="SCA" sheetId="1" r:id="rId1"/>
    <sheet name="01-01" sheetId="19" r:id="rId2"/>
    <sheet name="01-02" sheetId="20" r:id="rId3"/>
    <sheet name="T 087" sheetId="52" r:id="rId4"/>
    <sheet name="02-01" sheetId="54" r:id="rId5"/>
    <sheet name="03-01" sheetId="55" r:id="rId6"/>
    <sheet name="03-02" sheetId="56" r:id="rId7"/>
    <sheet name="03-03" sheetId="57" r:id="rId8"/>
    <sheet name="03-04" sheetId="58" r:id="rId9"/>
    <sheet name="SALDOS TREN" sheetId="53" state="hidden" r:id="rId10"/>
    <sheet name="St22 P01" sheetId="42" state="hidden" r:id="rId11"/>
    <sheet name="Cuadros Diapo" sheetId="25" state="hidden" r:id="rId12"/>
    <sheet name="Hoja1" sheetId="49" state="hidden" r:id="rId13"/>
    <sheet name="Hoja2" sheetId="50" state="hidden" r:id="rId14"/>
  </sheets>
  <externalReferences>
    <externalReference r:id="rId15"/>
    <externalReference r:id="rId16"/>
    <externalReference r:id="rId17"/>
    <externalReference r:id="rId18"/>
  </externalReferences>
  <definedNames>
    <definedName name="_xlnm.Print_Area" localSheetId="1">'01-01'!$A$2:$J$84</definedName>
    <definedName name="_xlnm.Print_Area" localSheetId="2">'01-02'!$A$2:$K$37</definedName>
    <definedName name="_xlnm.Print_Area" localSheetId="3">'T 087'!$A$2:$H$56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58" l="1"/>
  <c r="D17" i="58"/>
  <c r="C17" i="58"/>
  <c r="D19" i="57"/>
  <c r="F19" i="57"/>
  <c r="C19" i="57"/>
  <c r="F22" i="56"/>
  <c r="D22" i="56"/>
  <c r="C22" i="56"/>
  <c r="D6" i="57" l="1"/>
  <c r="F6" i="57"/>
  <c r="C6" i="57"/>
  <c r="E7" i="57"/>
  <c r="G7" i="57"/>
  <c r="H7" i="57"/>
  <c r="I7" i="57"/>
  <c r="F24" i="55"/>
  <c r="D24" i="55"/>
  <c r="C24" i="55"/>
  <c r="C7" i="55"/>
  <c r="D7" i="55"/>
  <c r="F7" i="55"/>
  <c r="F25" i="54"/>
  <c r="D25" i="54"/>
  <c r="C25" i="54"/>
  <c r="E7" i="55" l="1"/>
  <c r="G7" i="55"/>
  <c r="K87" i="58"/>
  <c r="K86" i="58"/>
  <c r="K85" i="58"/>
  <c r="K84" i="58"/>
  <c r="K83" i="58"/>
  <c r="K82" i="58"/>
  <c r="K81" i="58"/>
  <c r="K80" i="58"/>
  <c r="K79" i="58"/>
  <c r="K78" i="58"/>
  <c r="K77" i="58"/>
  <c r="K75" i="58"/>
  <c r="K74" i="58"/>
  <c r="K73" i="58"/>
  <c r="K72" i="58"/>
  <c r="K71" i="58"/>
  <c r="K69" i="58"/>
  <c r="K68" i="58"/>
  <c r="K67" i="58"/>
  <c r="K66" i="58"/>
  <c r="K65" i="58"/>
  <c r="K64" i="58"/>
  <c r="K63" i="58"/>
  <c r="K61" i="58"/>
  <c r="K60" i="58"/>
  <c r="K59" i="58"/>
  <c r="K58" i="58"/>
  <c r="K57" i="58"/>
  <c r="K55" i="58"/>
  <c r="K54" i="58"/>
  <c r="K53" i="58"/>
  <c r="K52" i="58"/>
  <c r="K51" i="58"/>
  <c r="K50" i="58"/>
  <c r="K49" i="58"/>
  <c r="I39" i="58"/>
  <c r="H39" i="58"/>
  <c r="G39" i="58"/>
  <c r="E39" i="58"/>
  <c r="F38" i="58"/>
  <c r="D38" i="58"/>
  <c r="C38" i="58"/>
  <c r="H38" i="58" s="1"/>
  <c r="I37" i="58"/>
  <c r="H37" i="58"/>
  <c r="G37" i="58"/>
  <c r="E37" i="58"/>
  <c r="F36" i="58"/>
  <c r="D36" i="58"/>
  <c r="C36" i="58"/>
  <c r="I35" i="58"/>
  <c r="H35" i="58"/>
  <c r="G35" i="58"/>
  <c r="E35" i="58"/>
  <c r="I34" i="58"/>
  <c r="H34" i="58"/>
  <c r="G34" i="58"/>
  <c r="E34" i="58"/>
  <c r="I33" i="58"/>
  <c r="H33" i="58"/>
  <c r="G33" i="58"/>
  <c r="E33" i="58"/>
  <c r="I32" i="58"/>
  <c r="H32" i="58"/>
  <c r="G32" i="58"/>
  <c r="E32" i="58"/>
  <c r="F31" i="58"/>
  <c r="D31" i="58"/>
  <c r="C31" i="58"/>
  <c r="K70" i="58" s="1"/>
  <c r="I30" i="58"/>
  <c r="H30" i="58"/>
  <c r="G30" i="58"/>
  <c r="E30" i="58"/>
  <c r="I29" i="58"/>
  <c r="H29" i="58"/>
  <c r="G29" i="58"/>
  <c r="E29" i="58"/>
  <c r="H28" i="58"/>
  <c r="G28" i="58"/>
  <c r="F28" i="58"/>
  <c r="I28" i="58" s="1"/>
  <c r="D28" i="58"/>
  <c r="C28" i="58"/>
  <c r="E28" i="58" s="1"/>
  <c r="I27" i="58"/>
  <c r="H27" i="58"/>
  <c r="G27" i="58"/>
  <c r="E27" i="58"/>
  <c r="F26" i="58"/>
  <c r="D26" i="58"/>
  <c r="C26" i="58"/>
  <c r="K62" i="58" s="1"/>
  <c r="G24" i="58"/>
  <c r="E24" i="58"/>
  <c r="I23" i="58"/>
  <c r="H23" i="58"/>
  <c r="G23" i="58"/>
  <c r="E23" i="58"/>
  <c r="I22" i="58"/>
  <c r="H22" i="58"/>
  <c r="G22" i="58"/>
  <c r="E22" i="58"/>
  <c r="I21" i="58"/>
  <c r="H21" i="58"/>
  <c r="G21" i="58"/>
  <c r="E21" i="58"/>
  <c r="I20" i="58"/>
  <c r="H20" i="58"/>
  <c r="G20" i="58"/>
  <c r="E20" i="58"/>
  <c r="I19" i="58"/>
  <c r="H19" i="58"/>
  <c r="G19" i="58"/>
  <c r="E19" i="58"/>
  <c r="I18" i="58"/>
  <c r="H18" i="58"/>
  <c r="G18" i="58"/>
  <c r="E18" i="58"/>
  <c r="F16" i="58"/>
  <c r="I11" i="58"/>
  <c r="G11" i="58"/>
  <c r="H11" i="58"/>
  <c r="I10" i="58"/>
  <c r="H10" i="58"/>
  <c r="G10" i="58"/>
  <c r="E10" i="58"/>
  <c r="F9" i="58"/>
  <c r="D9" i="58"/>
  <c r="C9" i="58"/>
  <c r="I7" i="58"/>
  <c r="H7" i="58"/>
  <c r="G7" i="58"/>
  <c r="E7" i="58"/>
  <c r="F6" i="58"/>
  <c r="D6" i="58"/>
  <c r="H6" i="58" s="1"/>
  <c r="C6" i="58"/>
  <c r="I35" i="57"/>
  <c r="H35" i="57"/>
  <c r="G35" i="57"/>
  <c r="E35" i="57"/>
  <c r="F34" i="57"/>
  <c r="D34" i="57"/>
  <c r="H34" i="57" s="1"/>
  <c r="C34" i="57"/>
  <c r="I33" i="57"/>
  <c r="H33" i="57"/>
  <c r="G33" i="57"/>
  <c r="E33" i="57"/>
  <c r="I32" i="57"/>
  <c r="H32" i="57"/>
  <c r="G32" i="57"/>
  <c r="E32" i="57"/>
  <c r="I31" i="57"/>
  <c r="H31" i="57"/>
  <c r="G31" i="57"/>
  <c r="E31" i="57"/>
  <c r="F30" i="57"/>
  <c r="D30" i="57"/>
  <c r="C30" i="57"/>
  <c r="I29" i="57"/>
  <c r="H29" i="57"/>
  <c r="G29" i="57"/>
  <c r="E29" i="57"/>
  <c r="I28" i="57"/>
  <c r="H28" i="57"/>
  <c r="G28" i="57"/>
  <c r="E28" i="57"/>
  <c r="F27" i="57"/>
  <c r="G27" i="57" s="1"/>
  <c r="D27" i="57"/>
  <c r="C27" i="57"/>
  <c r="C26" i="57" s="1"/>
  <c r="D26" i="57"/>
  <c r="I25" i="57"/>
  <c r="H25" i="57"/>
  <c r="G25" i="57"/>
  <c r="E25" i="57"/>
  <c r="I24" i="57"/>
  <c r="H24" i="57"/>
  <c r="G24" i="57"/>
  <c r="E24" i="57"/>
  <c r="G23" i="57"/>
  <c r="E23" i="57"/>
  <c r="I22" i="57"/>
  <c r="H22" i="57"/>
  <c r="G22" i="57"/>
  <c r="E22" i="57"/>
  <c r="I21" i="57"/>
  <c r="H21" i="57"/>
  <c r="G21" i="57"/>
  <c r="E21" i="57"/>
  <c r="I20" i="57"/>
  <c r="H20" i="57"/>
  <c r="G20" i="57"/>
  <c r="E20" i="57"/>
  <c r="C18" i="57"/>
  <c r="I13" i="57"/>
  <c r="H13" i="57"/>
  <c r="G13" i="57"/>
  <c r="E13" i="57"/>
  <c r="I12" i="57"/>
  <c r="H12" i="57"/>
  <c r="G12" i="57"/>
  <c r="E12" i="57"/>
  <c r="I11" i="57"/>
  <c r="H11" i="57"/>
  <c r="G11" i="57"/>
  <c r="E11" i="57"/>
  <c r="F10" i="57"/>
  <c r="D10" i="57"/>
  <c r="D9" i="57" s="1"/>
  <c r="D14" i="57" s="1"/>
  <c r="C10" i="57"/>
  <c r="I8" i="57"/>
  <c r="H8" i="57"/>
  <c r="G8" i="57"/>
  <c r="G6" i="57" s="1"/>
  <c r="E8" i="57"/>
  <c r="E6" i="57" s="1"/>
  <c r="I6" i="57"/>
  <c r="I36" i="56"/>
  <c r="H36" i="56"/>
  <c r="G36" i="56"/>
  <c r="E36" i="56"/>
  <c r="F35" i="56"/>
  <c r="D35" i="56"/>
  <c r="C35" i="56"/>
  <c r="I35" i="56" s="1"/>
  <c r="I34" i="56"/>
  <c r="H34" i="56"/>
  <c r="G34" i="56"/>
  <c r="E34" i="56"/>
  <c r="I33" i="56"/>
  <c r="H33" i="56"/>
  <c r="G33" i="56"/>
  <c r="E33" i="56"/>
  <c r="I32" i="56"/>
  <c r="H32" i="56"/>
  <c r="G32" i="56"/>
  <c r="E32" i="56"/>
  <c r="I31" i="56"/>
  <c r="H31" i="56"/>
  <c r="G31" i="56"/>
  <c r="E31" i="56"/>
  <c r="F30" i="56"/>
  <c r="I30" i="56" s="1"/>
  <c r="D30" i="56"/>
  <c r="C30" i="56"/>
  <c r="I29" i="56"/>
  <c r="H29" i="56"/>
  <c r="G29" i="56"/>
  <c r="E29" i="56"/>
  <c r="I28" i="56"/>
  <c r="H28" i="56"/>
  <c r="G28" i="56"/>
  <c r="E28" i="56"/>
  <c r="I27" i="56"/>
  <c r="H27" i="56"/>
  <c r="G27" i="56"/>
  <c r="E27" i="56"/>
  <c r="I26" i="56"/>
  <c r="H26" i="56"/>
  <c r="G26" i="56"/>
  <c r="E26" i="56"/>
  <c r="I25" i="56"/>
  <c r="H25" i="56"/>
  <c r="G25" i="56"/>
  <c r="E25" i="56"/>
  <c r="I24" i="56"/>
  <c r="H24" i="56"/>
  <c r="G24" i="56"/>
  <c r="E24" i="56"/>
  <c r="I23" i="56"/>
  <c r="H23" i="56"/>
  <c r="G23" i="56"/>
  <c r="E23" i="56"/>
  <c r="C21" i="56"/>
  <c r="I16" i="56"/>
  <c r="H16" i="56"/>
  <c r="G16" i="56"/>
  <c r="E16" i="56"/>
  <c r="I15" i="56"/>
  <c r="H15" i="56"/>
  <c r="G15" i="56"/>
  <c r="E15" i="56"/>
  <c r="I14" i="56"/>
  <c r="H14" i="56"/>
  <c r="G14" i="56"/>
  <c r="E14" i="56"/>
  <c r="F13" i="56"/>
  <c r="F12" i="56" s="1"/>
  <c r="D13" i="56"/>
  <c r="C13" i="56"/>
  <c r="I11" i="56"/>
  <c r="H11" i="56"/>
  <c r="G11" i="56"/>
  <c r="E11" i="56"/>
  <c r="I10" i="56"/>
  <c r="H10" i="56"/>
  <c r="G10" i="56"/>
  <c r="E10" i="56"/>
  <c r="F9" i="56"/>
  <c r="D9" i="56"/>
  <c r="C9" i="56"/>
  <c r="I8" i="56"/>
  <c r="H8" i="56"/>
  <c r="G8" i="56"/>
  <c r="E8" i="56"/>
  <c r="F7" i="56"/>
  <c r="F6" i="56" s="1"/>
  <c r="D7" i="56"/>
  <c r="C7" i="56"/>
  <c r="E7" i="56" s="1"/>
  <c r="D6" i="56"/>
  <c r="K127" i="55"/>
  <c r="K126" i="55"/>
  <c r="K124" i="55"/>
  <c r="K123" i="55"/>
  <c r="K122" i="55"/>
  <c r="K120" i="55"/>
  <c r="K117" i="55"/>
  <c r="K115" i="55"/>
  <c r="K114" i="55"/>
  <c r="K113" i="55"/>
  <c r="K112" i="55"/>
  <c r="K111" i="55"/>
  <c r="K109" i="55"/>
  <c r="K108" i="55"/>
  <c r="K107" i="55"/>
  <c r="K106" i="55"/>
  <c r="K105" i="55"/>
  <c r="K104" i="55"/>
  <c r="K103" i="55"/>
  <c r="K101" i="55"/>
  <c r="K100" i="55"/>
  <c r="K99" i="55"/>
  <c r="K98" i="55"/>
  <c r="K95" i="55"/>
  <c r="K94" i="55"/>
  <c r="K93" i="55"/>
  <c r="K92" i="55"/>
  <c r="K91" i="55"/>
  <c r="K90" i="55"/>
  <c r="K89" i="55"/>
  <c r="F78" i="55"/>
  <c r="D78" i="55"/>
  <c r="C78" i="55"/>
  <c r="F76" i="55"/>
  <c r="F75" i="55"/>
  <c r="I73" i="55"/>
  <c r="H73" i="55"/>
  <c r="G73" i="55"/>
  <c r="E73" i="55"/>
  <c r="F72" i="55"/>
  <c r="D72" i="55"/>
  <c r="C72" i="55"/>
  <c r="K125" i="55" s="1"/>
  <c r="I71" i="55"/>
  <c r="H71" i="55"/>
  <c r="G71" i="55"/>
  <c r="E71" i="55"/>
  <c r="I70" i="55"/>
  <c r="H70" i="55"/>
  <c r="G70" i="55"/>
  <c r="E70" i="55"/>
  <c r="I69" i="55"/>
  <c r="H69" i="55"/>
  <c r="G69" i="55"/>
  <c r="E69" i="55"/>
  <c r="F68" i="55"/>
  <c r="D68" i="55"/>
  <c r="C68" i="55"/>
  <c r="I67" i="55"/>
  <c r="H67" i="55"/>
  <c r="G67" i="55"/>
  <c r="E67" i="55"/>
  <c r="F66" i="55"/>
  <c r="D66" i="55"/>
  <c r="H66" i="55" s="1"/>
  <c r="C66" i="55"/>
  <c r="I65" i="55"/>
  <c r="H65" i="55"/>
  <c r="G65" i="55"/>
  <c r="E65" i="55"/>
  <c r="F64" i="55"/>
  <c r="D64" i="55"/>
  <c r="C64" i="55"/>
  <c r="K119" i="55" s="1"/>
  <c r="I62" i="55"/>
  <c r="H62" i="55"/>
  <c r="G62" i="55"/>
  <c r="E62" i="55"/>
  <c r="F61" i="55"/>
  <c r="I61" i="55" s="1"/>
  <c r="D61" i="55"/>
  <c r="C61" i="55"/>
  <c r="K116" i="55" s="1"/>
  <c r="I60" i="55"/>
  <c r="H60" i="55"/>
  <c r="G60" i="55"/>
  <c r="E60" i="55"/>
  <c r="F59" i="55"/>
  <c r="I59" i="55" s="1"/>
  <c r="D59" i="55"/>
  <c r="C59" i="55"/>
  <c r="I58" i="55"/>
  <c r="H58" i="55"/>
  <c r="G58" i="55"/>
  <c r="E58" i="55"/>
  <c r="I57" i="55"/>
  <c r="H57" i="55"/>
  <c r="G57" i="55"/>
  <c r="E57" i="55"/>
  <c r="I56" i="55"/>
  <c r="H56" i="55"/>
  <c r="G56" i="55"/>
  <c r="E56" i="55"/>
  <c r="I55" i="55"/>
  <c r="H55" i="55"/>
  <c r="G55" i="55"/>
  <c r="E55" i="55"/>
  <c r="I54" i="55"/>
  <c r="H54" i="55"/>
  <c r="G54" i="55"/>
  <c r="E54" i="55"/>
  <c r="F53" i="55"/>
  <c r="D53" i="55"/>
  <c r="C53" i="55"/>
  <c r="K110" i="55" s="1"/>
  <c r="I52" i="55"/>
  <c r="H52" i="55"/>
  <c r="G52" i="55"/>
  <c r="E52" i="55"/>
  <c r="I51" i="55"/>
  <c r="H51" i="55"/>
  <c r="G51" i="55"/>
  <c r="E51" i="55"/>
  <c r="F50" i="55"/>
  <c r="D50" i="55"/>
  <c r="C50" i="55"/>
  <c r="I49" i="55"/>
  <c r="H49" i="55"/>
  <c r="G49" i="55"/>
  <c r="E49" i="55"/>
  <c r="I48" i="55"/>
  <c r="H48" i="55"/>
  <c r="G48" i="55"/>
  <c r="E48" i="55"/>
  <c r="I47" i="55"/>
  <c r="H47" i="55"/>
  <c r="G47" i="55"/>
  <c r="E47" i="55"/>
  <c r="I46" i="55"/>
  <c r="H46" i="55"/>
  <c r="G46" i="55"/>
  <c r="E46" i="55"/>
  <c r="I45" i="55"/>
  <c r="H45" i="55"/>
  <c r="G45" i="55"/>
  <c r="E45" i="55"/>
  <c r="I44" i="55"/>
  <c r="H44" i="55"/>
  <c r="G44" i="55"/>
  <c r="E44" i="55"/>
  <c r="I43" i="55"/>
  <c r="H43" i="55"/>
  <c r="G43" i="55"/>
  <c r="E43" i="55"/>
  <c r="I42" i="55"/>
  <c r="H42" i="55"/>
  <c r="G42" i="55"/>
  <c r="E42" i="55"/>
  <c r="F41" i="55"/>
  <c r="D41" i="55"/>
  <c r="C41" i="55"/>
  <c r="K102" i="55" s="1"/>
  <c r="I40" i="55"/>
  <c r="H40" i="55"/>
  <c r="G40" i="55"/>
  <c r="E40" i="55"/>
  <c r="F39" i="55"/>
  <c r="D39" i="55"/>
  <c r="C39" i="55"/>
  <c r="I38" i="55"/>
  <c r="H38" i="55"/>
  <c r="G38" i="55"/>
  <c r="E38" i="55"/>
  <c r="I37" i="55"/>
  <c r="H37" i="55"/>
  <c r="G37" i="55"/>
  <c r="E37" i="55"/>
  <c r="I36" i="55"/>
  <c r="H36" i="55"/>
  <c r="G36" i="55"/>
  <c r="E36" i="55"/>
  <c r="I35" i="55"/>
  <c r="H35" i="55"/>
  <c r="G35" i="55"/>
  <c r="E35" i="55"/>
  <c r="I34" i="55"/>
  <c r="H34" i="55"/>
  <c r="G34" i="55"/>
  <c r="E34" i="55"/>
  <c r="F33" i="55"/>
  <c r="D33" i="55"/>
  <c r="C33" i="55"/>
  <c r="I31" i="55"/>
  <c r="H31" i="55"/>
  <c r="G31" i="55"/>
  <c r="E31" i="55"/>
  <c r="I30" i="55"/>
  <c r="H30" i="55"/>
  <c r="G30" i="55"/>
  <c r="E30" i="55"/>
  <c r="I29" i="55"/>
  <c r="H29" i="55"/>
  <c r="G29" i="55"/>
  <c r="E29" i="55"/>
  <c r="I28" i="55"/>
  <c r="H28" i="55"/>
  <c r="G28" i="55"/>
  <c r="E28" i="55"/>
  <c r="I27" i="55"/>
  <c r="H27" i="55"/>
  <c r="G27" i="55"/>
  <c r="E27" i="55"/>
  <c r="I26" i="55"/>
  <c r="H26" i="55"/>
  <c r="G26" i="55"/>
  <c r="E26" i="55"/>
  <c r="I25" i="55"/>
  <c r="H25" i="55"/>
  <c r="G25" i="55"/>
  <c r="E25" i="55"/>
  <c r="D23" i="55"/>
  <c r="C23" i="55"/>
  <c r="K87" i="55" s="1"/>
  <c r="I18" i="55"/>
  <c r="H18" i="55"/>
  <c r="G18" i="55"/>
  <c r="E18" i="55"/>
  <c r="I17" i="55"/>
  <c r="H17" i="55"/>
  <c r="G17" i="55"/>
  <c r="E17" i="55"/>
  <c r="I16" i="55"/>
  <c r="H16" i="55"/>
  <c r="G16" i="55"/>
  <c r="E16" i="55"/>
  <c r="F15" i="55"/>
  <c r="D15" i="55"/>
  <c r="D14" i="55" s="1"/>
  <c r="C15" i="55"/>
  <c r="C14" i="55" s="1"/>
  <c r="I13" i="55"/>
  <c r="H13" i="55"/>
  <c r="G13" i="55"/>
  <c r="E13" i="55"/>
  <c r="I12" i="55"/>
  <c r="H12" i="55"/>
  <c r="G12" i="55"/>
  <c r="E12" i="55"/>
  <c r="I11" i="55"/>
  <c r="H11" i="55"/>
  <c r="G11" i="55"/>
  <c r="E11" i="55"/>
  <c r="F10" i="55"/>
  <c r="D10" i="55"/>
  <c r="C10" i="55"/>
  <c r="I9" i="55"/>
  <c r="H9" i="55"/>
  <c r="G9" i="55"/>
  <c r="E9" i="55"/>
  <c r="I8" i="55"/>
  <c r="H8" i="55"/>
  <c r="G8" i="55"/>
  <c r="E8" i="55"/>
  <c r="I7" i="55"/>
  <c r="H7" i="55"/>
  <c r="F6" i="55"/>
  <c r="D6" i="55"/>
  <c r="I46" i="54"/>
  <c r="H46" i="54"/>
  <c r="G46" i="54"/>
  <c r="G45" i="54" s="1"/>
  <c r="E46" i="54"/>
  <c r="E45" i="54" s="1"/>
  <c r="F45" i="54"/>
  <c r="I45" i="54" s="1"/>
  <c r="D45" i="54"/>
  <c r="H45" i="54" s="1"/>
  <c r="C45" i="54"/>
  <c r="I44" i="54"/>
  <c r="H44" i="54"/>
  <c r="G44" i="54"/>
  <c r="E44" i="54"/>
  <c r="I43" i="54"/>
  <c r="H43" i="54"/>
  <c r="G43" i="54"/>
  <c r="E43" i="54"/>
  <c r="I42" i="54"/>
  <c r="H42" i="54"/>
  <c r="G42" i="54"/>
  <c r="E42" i="54"/>
  <c r="I41" i="54"/>
  <c r="H41" i="54"/>
  <c r="G41" i="54"/>
  <c r="E41" i="54"/>
  <c r="H40" i="54"/>
  <c r="F40" i="54"/>
  <c r="I40" i="54" s="1"/>
  <c r="D40" i="54"/>
  <c r="C40" i="54"/>
  <c r="I39" i="54"/>
  <c r="H39" i="54"/>
  <c r="G39" i="54"/>
  <c r="E39" i="54"/>
  <c r="I38" i="54"/>
  <c r="H38" i="54"/>
  <c r="G38" i="54"/>
  <c r="E38" i="54"/>
  <c r="F37" i="54"/>
  <c r="I37" i="54" s="1"/>
  <c r="D37" i="54"/>
  <c r="H37" i="54" s="1"/>
  <c r="C37" i="54"/>
  <c r="I36" i="54"/>
  <c r="H36" i="54"/>
  <c r="G36" i="54"/>
  <c r="E36" i="54"/>
  <c r="F35" i="54"/>
  <c r="D35" i="54"/>
  <c r="G35" i="54" s="1"/>
  <c r="C35" i="54"/>
  <c r="I34" i="54"/>
  <c r="H34" i="54"/>
  <c r="G34" i="54"/>
  <c r="E34" i="54"/>
  <c r="F33" i="54"/>
  <c r="D33" i="54"/>
  <c r="C33" i="54"/>
  <c r="C32" i="54"/>
  <c r="I31" i="54"/>
  <c r="H31" i="54"/>
  <c r="G31" i="54"/>
  <c r="E31" i="54"/>
  <c r="I30" i="54"/>
  <c r="H30" i="54"/>
  <c r="G30" i="54"/>
  <c r="E30" i="54"/>
  <c r="I29" i="54"/>
  <c r="H29" i="54"/>
  <c r="G29" i="54"/>
  <c r="E29" i="54"/>
  <c r="I28" i="54"/>
  <c r="H28" i="54"/>
  <c r="G28" i="54"/>
  <c r="E28" i="54"/>
  <c r="I27" i="54"/>
  <c r="H27" i="54"/>
  <c r="G27" i="54"/>
  <c r="I26" i="54"/>
  <c r="H26" i="54"/>
  <c r="G26" i="54"/>
  <c r="E26" i="54"/>
  <c r="F24" i="54"/>
  <c r="I19" i="54"/>
  <c r="H19" i="54"/>
  <c r="G19" i="54"/>
  <c r="E19" i="54"/>
  <c r="I18" i="54"/>
  <c r="H18" i="54"/>
  <c r="G18" i="54"/>
  <c r="E18" i="54"/>
  <c r="I17" i="54"/>
  <c r="H17" i="54"/>
  <c r="G17" i="54"/>
  <c r="E17" i="54"/>
  <c r="F16" i="54"/>
  <c r="D16" i="54"/>
  <c r="C16" i="54"/>
  <c r="C15" i="54" s="1"/>
  <c r="I14" i="54"/>
  <c r="H14" i="54"/>
  <c r="G14" i="54"/>
  <c r="E14" i="54"/>
  <c r="I13" i="54"/>
  <c r="H13" i="54"/>
  <c r="G13" i="54"/>
  <c r="E13" i="54"/>
  <c r="I12" i="54"/>
  <c r="H12" i="54"/>
  <c r="G12" i="54"/>
  <c r="E12" i="54"/>
  <c r="F11" i="54"/>
  <c r="D11" i="54"/>
  <c r="C11" i="54"/>
  <c r="I10" i="54"/>
  <c r="H10" i="54"/>
  <c r="G10" i="54"/>
  <c r="E10" i="54"/>
  <c r="I9" i="54"/>
  <c r="H9" i="54"/>
  <c r="F9" i="54"/>
  <c r="D9" i="54"/>
  <c r="C9" i="54"/>
  <c r="E9" i="54" s="1"/>
  <c r="I8" i="54"/>
  <c r="H8" i="54"/>
  <c r="G8" i="54"/>
  <c r="E8" i="54"/>
  <c r="F7" i="54"/>
  <c r="I7" i="54" s="1"/>
  <c r="D7" i="54"/>
  <c r="C7" i="54"/>
  <c r="E7" i="54" s="1"/>
  <c r="G7" i="56" l="1"/>
  <c r="I7" i="56"/>
  <c r="G34" i="57"/>
  <c r="E39" i="55"/>
  <c r="H26" i="57"/>
  <c r="I31" i="58"/>
  <c r="G39" i="55"/>
  <c r="E27" i="57"/>
  <c r="E38" i="58"/>
  <c r="H33" i="54"/>
  <c r="I35" i="54"/>
  <c r="H50" i="55"/>
  <c r="H64" i="55"/>
  <c r="I38" i="58"/>
  <c r="H7" i="54"/>
  <c r="G9" i="54"/>
  <c r="I16" i="54"/>
  <c r="I33" i="54"/>
  <c r="H61" i="55"/>
  <c r="F63" i="55"/>
  <c r="H30" i="56"/>
  <c r="I27" i="57"/>
  <c r="I34" i="57"/>
  <c r="I6" i="58"/>
  <c r="I36" i="58"/>
  <c r="G36" i="58"/>
  <c r="E36" i="58"/>
  <c r="K76" i="58"/>
  <c r="H36" i="58"/>
  <c r="G31" i="58"/>
  <c r="H31" i="58"/>
  <c r="H26" i="58"/>
  <c r="I26" i="58"/>
  <c r="I17" i="58"/>
  <c r="H17" i="58"/>
  <c r="K48" i="58"/>
  <c r="C16" i="58"/>
  <c r="K47" i="58" s="1"/>
  <c r="H30" i="57"/>
  <c r="E30" i="57"/>
  <c r="I30" i="57"/>
  <c r="E26" i="57"/>
  <c r="H19" i="57"/>
  <c r="I19" i="57"/>
  <c r="E19" i="57"/>
  <c r="D18" i="57"/>
  <c r="E18" i="57" s="1"/>
  <c r="G19" i="57"/>
  <c r="H35" i="56"/>
  <c r="I22" i="56"/>
  <c r="G22" i="56"/>
  <c r="F21" i="56"/>
  <c r="F37" i="56" s="1"/>
  <c r="G17" i="1" s="1"/>
  <c r="J17" i="1" s="1"/>
  <c r="E22" i="56"/>
  <c r="D21" i="56"/>
  <c r="D37" i="56" s="1"/>
  <c r="E17" i="1" s="1"/>
  <c r="I17" i="1" s="1"/>
  <c r="E9" i="58"/>
  <c r="H9" i="58"/>
  <c r="I9" i="58"/>
  <c r="H10" i="57"/>
  <c r="I10" i="57"/>
  <c r="E13" i="56"/>
  <c r="G13" i="56"/>
  <c r="C12" i="56"/>
  <c r="I12" i="56" s="1"/>
  <c r="I9" i="56"/>
  <c r="E9" i="56"/>
  <c r="H7" i="56"/>
  <c r="G72" i="55"/>
  <c r="E72" i="55"/>
  <c r="H72" i="55"/>
  <c r="H68" i="55"/>
  <c r="G64" i="55"/>
  <c r="G53" i="55"/>
  <c r="H53" i="55"/>
  <c r="I53" i="55"/>
  <c r="E50" i="55"/>
  <c r="G41" i="55"/>
  <c r="G33" i="55"/>
  <c r="E33" i="55"/>
  <c r="G24" i="55"/>
  <c r="E24" i="55"/>
  <c r="H14" i="55"/>
  <c r="E10" i="55"/>
  <c r="I10" i="55"/>
  <c r="E14" i="55"/>
  <c r="E15" i="55"/>
  <c r="I66" i="55"/>
  <c r="H15" i="55"/>
  <c r="H24" i="55"/>
  <c r="H41" i="55"/>
  <c r="K88" i="55"/>
  <c r="D19" i="55"/>
  <c r="G15" i="55"/>
  <c r="I64" i="55"/>
  <c r="G10" i="55"/>
  <c r="I33" i="55"/>
  <c r="H39" i="55"/>
  <c r="E41" i="55"/>
  <c r="H23" i="55"/>
  <c r="G50" i="55"/>
  <c r="I39" i="55"/>
  <c r="H10" i="55"/>
  <c r="E59" i="55"/>
  <c r="D63" i="55"/>
  <c r="E68" i="55"/>
  <c r="E40" i="54"/>
  <c r="G40" i="54"/>
  <c r="E37" i="54"/>
  <c r="H35" i="54"/>
  <c r="E35" i="54"/>
  <c r="I25" i="54"/>
  <c r="H25" i="54"/>
  <c r="H16" i="54"/>
  <c r="E11" i="54"/>
  <c r="H11" i="54"/>
  <c r="I11" i="54"/>
  <c r="D16" i="58"/>
  <c r="C8" i="58"/>
  <c r="C12" i="58" s="1"/>
  <c r="C25" i="58"/>
  <c r="E6" i="58"/>
  <c r="E17" i="58"/>
  <c r="G38" i="58"/>
  <c r="G6" i="58"/>
  <c r="D8" i="58"/>
  <c r="G17" i="58"/>
  <c r="D25" i="58"/>
  <c r="E26" i="58"/>
  <c r="F8" i="58"/>
  <c r="F25" i="58"/>
  <c r="G26" i="58"/>
  <c r="E31" i="58"/>
  <c r="G9" i="58"/>
  <c r="E11" i="58"/>
  <c r="C36" i="57"/>
  <c r="D18" i="1" s="1"/>
  <c r="G30" i="57"/>
  <c r="C9" i="57"/>
  <c r="H9" i="57" s="1"/>
  <c r="F26" i="57"/>
  <c r="I26" i="57" s="1"/>
  <c r="E34" i="57"/>
  <c r="E10" i="57"/>
  <c r="G26" i="57"/>
  <c r="H27" i="57"/>
  <c r="H6" i="57"/>
  <c r="F9" i="57"/>
  <c r="F14" i="57" s="1"/>
  <c r="G10" i="57"/>
  <c r="F18" i="57"/>
  <c r="F17" i="56"/>
  <c r="C37" i="56"/>
  <c r="D17" i="1" s="1"/>
  <c r="G9" i="56"/>
  <c r="I13" i="56"/>
  <c r="H22" i="56"/>
  <c r="E30" i="56"/>
  <c r="H6" i="56"/>
  <c r="H13" i="56"/>
  <c r="H9" i="56"/>
  <c r="G35" i="56"/>
  <c r="E35" i="56"/>
  <c r="C6" i="56"/>
  <c r="I6" i="56" s="1"/>
  <c r="G30" i="56"/>
  <c r="D12" i="56"/>
  <c r="D17" i="56" s="1"/>
  <c r="G6" i="56"/>
  <c r="I68" i="55"/>
  <c r="G6" i="55"/>
  <c r="E23" i="55"/>
  <c r="C32" i="55"/>
  <c r="K97" i="55"/>
  <c r="K121" i="55"/>
  <c r="F23" i="55"/>
  <c r="D32" i="55"/>
  <c r="I15" i="55"/>
  <c r="I50" i="55"/>
  <c r="G59" i="55"/>
  <c r="G66" i="55"/>
  <c r="I72" i="55"/>
  <c r="F32" i="55"/>
  <c r="I41" i="55"/>
  <c r="H59" i="55"/>
  <c r="E61" i="55"/>
  <c r="C6" i="55"/>
  <c r="I6" i="55" s="1"/>
  <c r="H33" i="55"/>
  <c r="C63" i="55"/>
  <c r="E66" i="55"/>
  <c r="I24" i="55"/>
  <c r="E53" i="55"/>
  <c r="G61" i="55"/>
  <c r="E64" i="55"/>
  <c r="G68" i="55"/>
  <c r="F14" i="55"/>
  <c r="C6" i="54"/>
  <c r="E33" i="54"/>
  <c r="G37" i="54"/>
  <c r="D32" i="54"/>
  <c r="D6" i="54"/>
  <c r="G11" i="54"/>
  <c r="D15" i="54"/>
  <c r="E16" i="54"/>
  <c r="C24" i="54"/>
  <c r="C47" i="54" s="1"/>
  <c r="D14" i="1" s="1"/>
  <c r="D13" i="1" s="1"/>
  <c r="D24" i="54"/>
  <c r="E25" i="54"/>
  <c r="E24" i="54" s="1"/>
  <c r="F32" i="54"/>
  <c r="I32" i="54" s="1"/>
  <c r="G33" i="54"/>
  <c r="F6" i="54"/>
  <c r="G7" i="54"/>
  <c r="F15" i="54"/>
  <c r="I15" i="54" s="1"/>
  <c r="G16" i="54"/>
  <c r="G25" i="54"/>
  <c r="G24" i="54" s="1"/>
  <c r="I25" i="58" l="1"/>
  <c r="G63" i="55"/>
  <c r="F40" i="58"/>
  <c r="G19" i="1" s="1"/>
  <c r="J19" i="1" s="1"/>
  <c r="C40" i="58"/>
  <c r="D19" i="1" s="1"/>
  <c r="I16" i="58"/>
  <c r="E16" i="58"/>
  <c r="D36" i="57"/>
  <c r="E18" i="1" s="1"/>
  <c r="I18" i="1" s="1"/>
  <c r="H36" i="57"/>
  <c r="G18" i="57"/>
  <c r="G36" i="57" s="1"/>
  <c r="H18" i="1" s="1"/>
  <c r="H18" i="57"/>
  <c r="I21" i="56"/>
  <c r="I37" i="56"/>
  <c r="G21" i="56"/>
  <c r="G37" i="56" s="1"/>
  <c r="H17" i="1" s="1"/>
  <c r="H21" i="56"/>
  <c r="E21" i="56"/>
  <c r="E37" i="56" s="1"/>
  <c r="F17" i="1" s="1"/>
  <c r="H37" i="56"/>
  <c r="I9" i="57"/>
  <c r="D74" i="55"/>
  <c r="I32" i="55"/>
  <c r="F47" i="54"/>
  <c r="I24" i="54"/>
  <c r="H25" i="58"/>
  <c r="G25" i="58"/>
  <c r="E25" i="58"/>
  <c r="K56" i="58"/>
  <c r="E8" i="58"/>
  <c r="E12" i="58" s="1"/>
  <c r="F12" i="58"/>
  <c r="I12" i="58" s="1"/>
  <c r="I8" i="58"/>
  <c r="H8" i="58"/>
  <c r="G8" i="58"/>
  <c r="G12" i="58" s="1"/>
  <c r="D12" i="58"/>
  <c r="H12" i="58" s="1"/>
  <c r="H16" i="58"/>
  <c r="G16" i="58"/>
  <c r="D40" i="58"/>
  <c r="E19" i="1" s="1"/>
  <c r="I19" i="1" s="1"/>
  <c r="F36" i="57"/>
  <c r="I18" i="57"/>
  <c r="E36" i="57"/>
  <c r="F18" i="1" s="1"/>
  <c r="C14" i="57"/>
  <c r="H14" i="57" s="1"/>
  <c r="E9" i="57"/>
  <c r="E14" i="57" s="1"/>
  <c r="G9" i="57"/>
  <c r="G14" i="57" s="1"/>
  <c r="E12" i="56"/>
  <c r="G12" i="56"/>
  <c r="G17" i="56" s="1"/>
  <c r="H12" i="56"/>
  <c r="C17" i="56"/>
  <c r="H17" i="56" s="1"/>
  <c r="E6" i="56"/>
  <c r="E63" i="55"/>
  <c r="K118" i="55"/>
  <c r="I14" i="55"/>
  <c r="G14" i="55"/>
  <c r="G19" i="55" s="1"/>
  <c r="H63" i="55"/>
  <c r="I23" i="55"/>
  <c r="F74" i="55"/>
  <c r="G16" i="1" s="1"/>
  <c r="E6" i="55"/>
  <c r="E19" i="55" s="1"/>
  <c r="H6" i="55"/>
  <c r="C19" i="55"/>
  <c r="H19" i="55" s="1"/>
  <c r="I63" i="55"/>
  <c r="H32" i="55"/>
  <c r="G32" i="55"/>
  <c r="G23" i="55"/>
  <c r="C74" i="55"/>
  <c r="D16" i="1" s="1"/>
  <c r="E32" i="55"/>
  <c r="K96" i="55"/>
  <c r="F19" i="55"/>
  <c r="I6" i="54"/>
  <c r="F20" i="54"/>
  <c r="H32" i="54"/>
  <c r="G32" i="54"/>
  <c r="G47" i="54" s="1"/>
  <c r="H14" i="1" s="1"/>
  <c r="H13" i="1" s="1"/>
  <c r="D47" i="54"/>
  <c r="H24" i="54"/>
  <c r="C20" i="54"/>
  <c r="E6" i="54"/>
  <c r="E32" i="54"/>
  <c r="E47" i="54" s="1"/>
  <c r="F14" i="1" s="1"/>
  <c r="F13" i="1" s="1"/>
  <c r="H6" i="54"/>
  <c r="G6" i="54"/>
  <c r="D20" i="54"/>
  <c r="H15" i="54"/>
  <c r="G15" i="54"/>
  <c r="E15" i="54"/>
  <c r="H47" i="54" l="1"/>
  <c r="E14" i="1"/>
  <c r="J16" i="1"/>
  <c r="I47" i="54"/>
  <c r="G14" i="1"/>
  <c r="I36" i="57"/>
  <c r="G18" i="1"/>
  <c r="J18" i="1" s="1"/>
  <c r="D15" i="1"/>
  <c r="D75" i="55"/>
  <c r="E16" i="1"/>
  <c r="E15" i="1" s="1"/>
  <c r="I15" i="1" s="1"/>
  <c r="I20" i="54"/>
  <c r="I40" i="58"/>
  <c r="H40" i="58"/>
  <c r="E40" i="58"/>
  <c r="F19" i="1" s="1"/>
  <c r="I14" i="57"/>
  <c r="I17" i="56"/>
  <c r="E17" i="56"/>
  <c r="D76" i="55"/>
  <c r="D79" i="55"/>
  <c r="E74" i="55"/>
  <c r="F16" i="1" s="1"/>
  <c r="G74" i="55"/>
  <c r="I19" i="55"/>
  <c r="G40" i="58"/>
  <c r="H19" i="1" s="1"/>
  <c r="C75" i="55"/>
  <c r="C79" i="55"/>
  <c r="C76" i="55"/>
  <c r="H74" i="55"/>
  <c r="F79" i="55"/>
  <c r="E76" i="55"/>
  <c r="I74" i="55"/>
  <c r="E75" i="55"/>
  <c r="H20" i="54"/>
  <c r="G20" i="54"/>
  <c r="E20" i="54"/>
  <c r="G76" i="55" l="1"/>
  <c r="H16" i="1"/>
  <c r="H15" i="1" s="1"/>
  <c r="F15" i="1"/>
  <c r="J14" i="1"/>
  <c r="G13" i="1"/>
  <c r="J13" i="1" s="1"/>
  <c r="G15" i="1"/>
  <c r="J15" i="1" s="1"/>
  <c r="I14" i="1"/>
  <c r="E13" i="1"/>
  <c r="I13" i="1" s="1"/>
  <c r="I16" i="1"/>
  <c r="G75" i="55"/>
  <c r="C18" i="20"/>
  <c r="C35" i="20"/>
  <c r="C33" i="20"/>
  <c r="C27" i="20"/>
  <c r="C8" i="20"/>
  <c r="C7" i="20" s="1"/>
  <c r="C12" i="20" s="1"/>
  <c r="C9" i="1" s="1"/>
  <c r="C26" i="20" l="1"/>
  <c r="C37" i="20" s="1"/>
  <c r="C12" i="1" l="1"/>
  <c r="C39" i="20"/>
  <c r="C79" i="19"/>
  <c r="C77" i="19"/>
  <c r="C76" i="19" s="1"/>
  <c r="C74" i="19"/>
  <c r="C68" i="19"/>
  <c r="C65" i="19"/>
  <c r="C54" i="19"/>
  <c r="C51" i="19"/>
  <c r="C41" i="19"/>
  <c r="C22" i="19"/>
  <c r="C20" i="19"/>
  <c r="C17" i="19"/>
  <c r="C16" i="19" s="1"/>
  <c r="C12" i="19"/>
  <c r="C8" i="19"/>
  <c r="C7" i="19" s="1"/>
  <c r="L18" i="20"/>
  <c r="K18" i="20"/>
  <c r="L35" i="20"/>
  <c r="K35" i="20"/>
  <c r="L33" i="20"/>
  <c r="K33" i="20"/>
  <c r="L27" i="20"/>
  <c r="L26" i="20" s="1"/>
  <c r="K27" i="20"/>
  <c r="K26" i="20" s="1"/>
  <c r="C40" i="19" l="1"/>
  <c r="C81" i="19" s="1"/>
  <c r="C25" i="19"/>
  <c r="C8" i="1" s="1"/>
  <c r="C7" i="1" s="1"/>
  <c r="L37" i="20"/>
  <c r="K37" i="20"/>
  <c r="L30" i="19"/>
  <c r="K30" i="19"/>
  <c r="L41" i="19"/>
  <c r="L51" i="19"/>
  <c r="L54" i="19"/>
  <c r="L65" i="19"/>
  <c r="L68" i="19"/>
  <c r="L77" i="19"/>
  <c r="L76" i="19" s="1"/>
  <c r="L79" i="19"/>
  <c r="K39" i="20" l="1"/>
  <c r="K12" i="1"/>
  <c r="L39" i="20"/>
  <c r="L12" i="1"/>
  <c r="C83" i="19"/>
  <c r="C11" i="1"/>
  <c r="C10" i="1" s="1"/>
  <c r="L40" i="19"/>
  <c r="L8" i="20"/>
  <c r="L7" i="20" s="1"/>
  <c r="L12" i="20" s="1"/>
  <c r="L9" i="1" s="1"/>
  <c r="K8" i="20"/>
  <c r="K7" i="20" s="1"/>
  <c r="K12" i="20" s="1"/>
  <c r="K9" i="1" s="1"/>
  <c r="L22" i="19"/>
  <c r="L20" i="19"/>
  <c r="L17" i="19"/>
  <c r="L16" i="19" s="1"/>
  <c r="L8" i="19"/>
  <c r="L7" i="19" s="1"/>
  <c r="L12" i="19"/>
  <c r="K79" i="19"/>
  <c r="K77" i="19"/>
  <c r="K76" i="19" s="1"/>
  <c r="K74" i="19"/>
  <c r="K68" i="19"/>
  <c r="K65" i="19"/>
  <c r="K54" i="19"/>
  <c r="K51" i="19"/>
  <c r="K41" i="19"/>
  <c r="K22" i="19"/>
  <c r="K20" i="19"/>
  <c r="K17" i="19"/>
  <c r="K12" i="19"/>
  <c r="K8" i="19"/>
  <c r="K7" i="19" s="1"/>
  <c r="K40" i="19" l="1"/>
  <c r="K16" i="19"/>
  <c r="K25" i="19" s="1"/>
  <c r="K8" i="1" s="1"/>
  <c r="K7" i="1" s="1"/>
  <c r="K81" i="19" l="1"/>
  <c r="K11" i="1" s="1"/>
  <c r="K10" i="1" s="1"/>
  <c r="K83" i="19" l="1"/>
  <c r="F9" i="20" l="1"/>
  <c r="F10" i="20"/>
  <c r="F11" i="20"/>
  <c r="F17" i="20"/>
  <c r="F19" i="20"/>
  <c r="F20" i="20"/>
  <c r="F21" i="20"/>
  <c r="F22" i="20"/>
  <c r="F23" i="20"/>
  <c r="F24" i="20"/>
  <c r="F25" i="20"/>
  <c r="F28" i="20"/>
  <c r="F29" i="20"/>
  <c r="F30" i="20"/>
  <c r="F31" i="20"/>
  <c r="F32" i="20"/>
  <c r="F34" i="20"/>
  <c r="F36" i="20"/>
  <c r="J24" i="20" l="1"/>
  <c r="I24" i="20"/>
  <c r="H24" i="20"/>
  <c r="J23" i="20"/>
  <c r="I23" i="20"/>
  <c r="H23" i="20"/>
  <c r="J22" i="20"/>
  <c r="I22" i="20"/>
  <c r="H22" i="20"/>
  <c r="J21" i="20"/>
  <c r="I21" i="20"/>
  <c r="H21" i="20"/>
  <c r="J20" i="20"/>
  <c r="I20" i="20"/>
  <c r="H20" i="20"/>
  <c r="J19" i="20"/>
  <c r="I19" i="20"/>
  <c r="H19" i="20"/>
  <c r="G18" i="20"/>
  <c r="E18" i="20"/>
  <c r="D18" i="20"/>
  <c r="F18" i="20" s="1"/>
  <c r="J37" i="19"/>
  <c r="I37" i="19"/>
  <c r="H37" i="19"/>
  <c r="F37" i="19"/>
  <c r="J36" i="19"/>
  <c r="I36" i="19"/>
  <c r="H36" i="19"/>
  <c r="F36" i="19"/>
  <c r="J35" i="19"/>
  <c r="I35" i="19"/>
  <c r="H35" i="19"/>
  <c r="F35" i="19"/>
  <c r="J34" i="19"/>
  <c r="I34" i="19"/>
  <c r="H34" i="19"/>
  <c r="F34" i="19"/>
  <c r="J33" i="19"/>
  <c r="I33" i="19"/>
  <c r="H33" i="19"/>
  <c r="F33" i="19"/>
  <c r="J32" i="19"/>
  <c r="I32" i="19"/>
  <c r="H32" i="19"/>
  <c r="F32" i="19"/>
  <c r="J31" i="19"/>
  <c r="I31" i="19"/>
  <c r="H31" i="19"/>
  <c r="F31" i="19"/>
  <c r="G30" i="19"/>
  <c r="E30" i="19"/>
  <c r="D30" i="19"/>
  <c r="J18" i="20" l="1"/>
  <c r="H18" i="20"/>
  <c r="I18" i="20"/>
  <c r="J30" i="19"/>
  <c r="I30" i="19"/>
  <c r="H30" i="19"/>
  <c r="F30" i="19"/>
  <c r="F29" i="19" l="1"/>
  <c r="F38" i="19"/>
  <c r="F39" i="19"/>
  <c r="D65" i="19" l="1"/>
  <c r="E65" i="19"/>
  <c r="G65" i="19"/>
  <c r="D33" i="20"/>
  <c r="E33" i="20"/>
  <c r="G33" i="20"/>
  <c r="F33" i="20" l="1"/>
  <c r="D7" i="52"/>
  <c r="A3" i="52"/>
  <c r="A3" i="20"/>
  <c r="C46" i="52" l="1"/>
  <c r="E46" i="52"/>
  <c r="D54" i="52"/>
  <c r="F54" i="52"/>
  <c r="G54" i="52"/>
  <c r="H54" i="52"/>
  <c r="J24" i="19" l="1"/>
  <c r="I24" i="19"/>
  <c r="L24" i="19" s="1"/>
  <c r="H24" i="19"/>
  <c r="F24" i="19"/>
  <c r="J23" i="19"/>
  <c r="I23" i="19"/>
  <c r="H23" i="19"/>
  <c r="F23" i="19"/>
  <c r="G22" i="19"/>
  <c r="E22" i="19"/>
  <c r="D22" i="19"/>
  <c r="H21" i="19"/>
  <c r="F21" i="19"/>
  <c r="G20" i="19"/>
  <c r="E20" i="19"/>
  <c r="D20" i="19"/>
  <c r="J19" i="19"/>
  <c r="I19" i="19"/>
  <c r="H19" i="19"/>
  <c r="F19" i="19"/>
  <c r="J18" i="19"/>
  <c r="I18" i="19"/>
  <c r="H18" i="19"/>
  <c r="F18" i="19"/>
  <c r="G17" i="19"/>
  <c r="E17" i="19"/>
  <c r="D17" i="19"/>
  <c r="J15" i="19"/>
  <c r="I15" i="19"/>
  <c r="H15" i="19"/>
  <c r="F15" i="19"/>
  <c r="J14" i="19"/>
  <c r="I14" i="19"/>
  <c r="H14" i="19"/>
  <c r="F14" i="19"/>
  <c r="H13" i="19"/>
  <c r="F13" i="19"/>
  <c r="G12" i="19"/>
  <c r="E12" i="19"/>
  <c r="J11" i="19"/>
  <c r="I11" i="19"/>
  <c r="L11" i="19" s="1"/>
  <c r="L25" i="19" s="1"/>
  <c r="L8" i="1" s="1"/>
  <c r="L7" i="1" s="1"/>
  <c r="H11" i="19"/>
  <c r="F11" i="19"/>
  <c r="J10" i="19"/>
  <c r="I10" i="19"/>
  <c r="H10" i="19"/>
  <c r="F10" i="19"/>
  <c r="J9" i="19"/>
  <c r="I9" i="19"/>
  <c r="H9" i="19"/>
  <c r="F9" i="19"/>
  <c r="G8" i="19"/>
  <c r="E8" i="19"/>
  <c r="E7" i="19" s="1"/>
  <c r="D8" i="19"/>
  <c r="D7" i="19" s="1"/>
  <c r="J11" i="20"/>
  <c r="I11" i="20"/>
  <c r="H11" i="20"/>
  <c r="J10" i="20"/>
  <c r="I10" i="20"/>
  <c r="H10" i="20"/>
  <c r="J9" i="20"/>
  <c r="I9" i="20"/>
  <c r="H9" i="20"/>
  <c r="G8" i="20"/>
  <c r="G7" i="20" s="1"/>
  <c r="E8" i="20"/>
  <c r="E7" i="20" s="1"/>
  <c r="D8" i="20"/>
  <c r="D7" i="20" l="1"/>
  <c r="F7" i="20" s="1"/>
  <c r="F12" i="20" s="1"/>
  <c r="F9" i="1" s="1"/>
  <c r="F8" i="20"/>
  <c r="F22" i="19"/>
  <c r="F17" i="19"/>
  <c r="F8" i="19"/>
  <c r="I8" i="20"/>
  <c r="J22" i="19"/>
  <c r="H17" i="19"/>
  <c r="J8" i="19"/>
  <c r="H20" i="19"/>
  <c r="H8" i="19"/>
  <c r="F7" i="19"/>
  <c r="G7" i="19"/>
  <c r="J7" i="19" s="1"/>
  <c r="I13" i="19"/>
  <c r="I17" i="19"/>
  <c r="I7" i="19"/>
  <c r="J17" i="19"/>
  <c r="I8" i="19"/>
  <c r="I22" i="19"/>
  <c r="J13" i="19"/>
  <c r="H12" i="19"/>
  <c r="D16" i="19"/>
  <c r="F20" i="19"/>
  <c r="H22" i="19"/>
  <c r="E16" i="19"/>
  <c r="G16" i="19"/>
  <c r="D12" i="19"/>
  <c r="I12" i="19" s="1"/>
  <c r="H8" i="20"/>
  <c r="J8" i="20"/>
  <c r="H7" i="20"/>
  <c r="H12" i="20" s="1"/>
  <c r="H9" i="1" s="1"/>
  <c r="E12" i="20"/>
  <c r="E9" i="1" s="1"/>
  <c r="G12" i="20"/>
  <c r="G9" i="1" s="1"/>
  <c r="J7" i="20" l="1"/>
  <c r="D12" i="20"/>
  <c r="I7" i="20"/>
  <c r="D25" i="19"/>
  <c r="D8" i="1" s="1"/>
  <c r="H7" i="19"/>
  <c r="J16" i="19"/>
  <c r="H16" i="19"/>
  <c r="I16" i="19"/>
  <c r="G25" i="19"/>
  <c r="G8" i="1" s="1"/>
  <c r="G7" i="1" s="1"/>
  <c r="F16" i="19"/>
  <c r="J12" i="19"/>
  <c r="F12" i="19"/>
  <c r="E25" i="19"/>
  <c r="E8" i="1" s="1"/>
  <c r="E7" i="1" s="1"/>
  <c r="J12" i="20" l="1"/>
  <c r="J9" i="1" s="1"/>
  <c r="D9" i="1"/>
  <c r="D7" i="1" s="1"/>
  <c r="I12" i="20"/>
  <c r="I9" i="1" s="1"/>
  <c r="F25" i="19"/>
  <c r="F8" i="1" s="1"/>
  <c r="F7" i="1" s="1"/>
  <c r="I25" i="19"/>
  <c r="I8" i="1" s="1"/>
  <c r="J25" i="19"/>
  <c r="J8" i="1" s="1"/>
  <c r="H25" i="19"/>
  <c r="H8" i="1" s="1"/>
  <c r="H7" i="1" s="1"/>
  <c r="I7" i="1" l="1"/>
  <c r="J7" i="1"/>
  <c r="F12" i="53"/>
  <c r="F3" i="53"/>
  <c r="F5" i="53" s="1"/>
  <c r="C19" i="53"/>
  <c r="C14" i="53" l="1"/>
  <c r="B46" i="52" l="1"/>
  <c r="B6" i="52" l="1"/>
  <c r="C6" i="52"/>
  <c r="E6" i="52"/>
  <c r="F7" i="52"/>
  <c r="G7" i="52"/>
  <c r="H7" i="52"/>
  <c r="D8" i="52"/>
  <c r="F8" i="52"/>
  <c r="G8" i="52"/>
  <c r="H8" i="52"/>
  <c r="D9" i="52"/>
  <c r="F9" i="52"/>
  <c r="G9" i="52"/>
  <c r="H9" i="52"/>
  <c r="D10" i="52"/>
  <c r="F10" i="52"/>
  <c r="G10" i="52"/>
  <c r="H10" i="52"/>
  <c r="D11" i="52"/>
  <c r="F11" i="52"/>
  <c r="D12" i="52"/>
  <c r="F12" i="52"/>
  <c r="G12" i="52"/>
  <c r="H12" i="52"/>
  <c r="D13" i="52"/>
  <c r="F13" i="52"/>
  <c r="G13" i="52"/>
  <c r="H13" i="52"/>
  <c r="D14" i="52"/>
  <c r="F14" i="52"/>
  <c r="G14" i="52"/>
  <c r="H14" i="52"/>
  <c r="B15" i="52"/>
  <c r="C15" i="52"/>
  <c r="E15" i="52"/>
  <c r="D16" i="52"/>
  <c r="F16" i="52"/>
  <c r="G16" i="52"/>
  <c r="H16" i="52"/>
  <c r="D17" i="52"/>
  <c r="F17" i="52"/>
  <c r="G17" i="52"/>
  <c r="H17" i="52"/>
  <c r="D18" i="52"/>
  <c r="F18" i="52"/>
  <c r="G18" i="52"/>
  <c r="H18" i="52"/>
  <c r="D19" i="52"/>
  <c r="F19" i="52"/>
  <c r="G19" i="52"/>
  <c r="H19" i="52"/>
  <c r="C20" i="52"/>
  <c r="E20" i="52"/>
  <c r="D21" i="52"/>
  <c r="F21" i="52"/>
  <c r="G21" i="52"/>
  <c r="H21" i="52"/>
  <c r="D22" i="52"/>
  <c r="F22" i="52"/>
  <c r="G22" i="52"/>
  <c r="H22" i="52"/>
  <c r="B20" i="52"/>
  <c r="F23" i="52"/>
  <c r="D24" i="52"/>
  <c r="F24" i="52"/>
  <c r="G24" i="52"/>
  <c r="H24" i="52"/>
  <c r="D25" i="52"/>
  <c r="F25" i="52"/>
  <c r="G25" i="52"/>
  <c r="H25" i="52"/>
  <c r="D26" i="52"/>
  <c r="F26" i="52"/>
  <c r="G26" i="52"/>
  <c r="H26" i="52"/>
  <c r="B27" i="52"/>
  <c r="C27" i="52"/>
  <c r="E27" i="52"/>
  <c r="D28" i="52"/>
  <c r="F28" i="52"/>
  <c r="G28" i="52"/>
  <c r="H28" i="52"/>
  <c r="B29" i="52"/>
  <c r="C29" i="52"/>
  <c r="E29" i="52"/>
  <c r="D30" i="52"/>
  <c r="F30" i="52"/>
  <c r="G30" i="52"/>
  <c r="H30" i="52"/>
  <c r="C31" i="52"/>
  <c r="E31" i="52"/>
  <c r="D32" i="52"/>
  <c r="F32" i="52"/>
  <c r="G32" i="52"/>
  <c r="H32" i="52"/>
  <c r="D33" i="52"/>
  <c r="F33" i="52"/>
  <c r="G33" i="52"/>
  <c r="H33" i="52"/>
  <c r="D34" i="52"/>
  <c r="F34" i="52"/>
  <c r="G34" i="52"/>
  <c r="H34" i="52"/>
  <c r="D35" i="52"/>
  <c r="F35" i="52"/>
  <c r="G35" i="52"/>
  <c r="H35" i="52"/>
  <c r="D36" i="52"/>
  <c r="F36" i="52"/>
  <c r="D37" i="52"/>
  <c r="F37" i="52"/>
  <c r="G37" i="52"/>
  <c r="H37" i="52"/>
  <c r="D38" i="52"/>
  <c r="F38" i="52"/>
  <c r="B39" i="52"/>
  <c r="C39" i="52"/>
  <c r="E39" i="52"/>
  <c r="D40" i="52"/>
  <c r="F40" i="52"/>
  <c r="G40" i="52"/>
  <c r="H40" i="52"/>
  <c r="D41" i="52"/>
  <c r="F41" i="52"/>
  <c r="G41" i="52"/>
  <c r="H41" i="52"/>
  <c r="D42" i="52"/>
  <c r="F42" i="52"/>
  <c r="G42" i="52"/>
  <c r="H42" i="52"/>
  <c r="D43" i="52"/>
  <c r="F43" i="52"/>
  <c r="G43" i="52"/>
  <c r="H43" i="52"/>
  <c r="D44" i="52"/>
  <c r="F44" i="52"/>
  <c r="G44" i="52"/>
  <c r="H44" i="52"/>
  <c r="D45" i="52"/>
  <c r="F45" i="52"/>
  <c r="G45" i="52"/>
  <c r="H45" i="52"/>
  <c r="D47" i="52"/>
  <c r="F47" i="52"/>
  <c r="G47" i="52"/>
  <c r="H47" i="52"/>
  <c r="D48" i="52"/>
  <c r="F48" i="52"/>
  <c r="G48" i="52"/>
  <c r="H48" i="52"/>
  <c r="D49" i="52"/>
  <c r="F49" i="52"/>
  <c r="G49" i="52"/>
  <c r="H49" i="52"/>
  <c r="D50" i="52"/>
  <c r="F50" i="52"/>
  <c r="G50" i="52"/>
  <c r="H50" i="52"/>
  <c r="D51" i="52"/>
  <c r="F51" i="52"/>
  <c r="G51" i="52"/>
  <c r="H51" i="52"/>
  <c r="D52" i="52"/>
  <c r="F52" i="52"/>
  <c r="G52" i="52"/>
  <c r="H52" i="52"/>
  <c r="D53" i="52"/>
  <c r="F53" i="52"/>
  <c r="G53" i="52"/>
  <c r="H53" i="52"/>
  <c r="D46" i="52" l="1"/>
  <c r="F46" i="52"/>
  <c r="D29" i="52"/>
  <c r="D27" i="52"/>
  <c r="G46" i="52"/>
  <c r="D39" i="52"/>
  <c r="F39" i="52"/>
  <c r="G39" i="52"/>
  <c r="F31" i="52"/>
  <c r="H29" i="52"/>
  <c r="G27" i="52"/>
  <c r="H27" i="52"/>
  <c r="D15" i="52"/>
  <c r="F15" i="52"/>
  <c r="H15" i="52"/>
  <c r="G15" i="52"/>
  <c r="F6" i="52"/>
  <c r="D6" i="52"/>
  <c r="C55" i="52"/>
  <c r="H6" i="52"/>
  <c r="F20" i="52"/>
  <c r="F29" i="52"/>
  <c r="H20" i="52"/>
  <c r="D20" i="52"/>
  <c r="G20" i="52"/>
  <c r="G29" i="52"/>
  <c r="F27" i="52"/>
  <c r="E55" i="52"/>
  <c r="H23" i="52"/>
  <c r="G6" i="52"/>
  <c r="B31" i="52"/>
  <c r="G23" i="52"/>
  <c r="H36" i="52"/>
  <c r="H39" i="52"/>
  <c r="G36" i="52"/>
  <c r="D23" i="52"/>
  <c r="H46" i="52"/>
  <c r="B55" i="52" l="1"/>
  <c r="F55" i="52"/>
  <c r="G31" i="52"/>
  <c r="D31" i="52"/>
  <c r="D55" i="52" s="1"/>
  <c r="H31" i="52"/>
  <c r="G55" i="52" l="1"/>
  <c r="H55" i="52"/>
  <c r="D56" i="49" l="1"/>
  <c r="C56" i="49"/>
  <c r="I95" i="25" l="1"/>
  <c r="H95" i="25"/>
  <c r="K95" i="25"/>
  <c r="L95" i="25"/>
  <c r="N80" i="25"/>
  <c r="O80" i="25"/>
  <c r="N81" i="25"/>
  <c r="O81" i="25"/>
  <c r="N82" i="25"/>
  <c r="O82" i="25"/>
  <c r="N83" i="25"/>
  <c r="O83" i="25"/>
  <c r="N84" i="25"/>
  <c r="O84" i="25"/>
  <c r="N85" i="25"/>
  <c r="O85" i="25"/>
  <c r="N86" i="25"/>
  <c r="O86" i="25"/>
  <c r="N87" i="25"/>
  <c r="O87" i="25"/>
  <c r="P87" i="25" s="1"/>
  <c r="N88" i="25"/>
  <c r="O88" i="25"/>
  <c r="N89" i="25"/>
  <c r="O89" i="25"/>
  <c r="N90" i="25"/>
  <c r="O90" i="25"/>
  <c r="N91" i="25"/>
  <c r="O91" i="25"/>
  <c r="N92" i="25"/>
  <c r="O92" i="25"/>
  <c r="N93" i="25"/>
  <c r="O93" i="25"/>
  <c r="N94" i="25"/>
  <c r="O94" i="25"/>
  <c r="O79" i="25"/>
  <c r="N79" i="25"/>
  <c r="M94" i="25"/>
  <c r="M93" i="25"/>
  <c r="M92" i="25"/>
  <c r="M91" i="25"/>
  <c r="M90" i="25"/>
  <c r="M89" i="25"/>
  <c r="M88" i="25"/>
  <c r="M87" i="25"/>
  <c r="M86" i="25"/>
  <c r="M85" i="25"/>
  <c r="M84" i="25"/>
  <c r="M83" i="25"/>
  <c r="M82" i="25"/>
  <c r="M81" i="25"/>
  <c r="M80" i="25"/>
  <c r="M79" i="25"/>
  <c r="J80" i="25"/>
  <c r="J81" i="25"/>
  <c r="J82" i="25"/>
  <c r="J83" i="25"/>
  <c r="J84" i="25"/>
  <c r="J85" i="25"/>
  <c r="J86" i="25"/>
  <c r="J87" i="25"/>
  <c r="J88" i="25"/>
  <c r="J89" i="25"/>
  <c r="J90" i="25"/>
  <c r="J91" i="25"/>
  <c r="J92" i="25"/>
  <c r="J93" i="25"/>
  <c r="J94" i="25"/>
  <c r="J79" i="25"/>
  <c r="I14" i="25"/>
  <c r="P93" i="25" l="1"/>
  <c r="P89" i="25"/>
  <c r="P85" i="25"/>
  <c r="P81" i="25"/>
  <c r="M95" i="25"/>
  <c r="N95" i="25"/>
  <c r="P84" i="25"/>
  <c r="P90" i="25"/>
  <c r="P86" i="25"/>
  <c r="P82" i="25"/>
  <c r="J95" i="25"/>
  <c r="P92" i="25"/>
  <c r="P88" i="25"/>
  <c r="P80" i="25"/>
  <c r="P83" i="25"/>
  <c r="P94" i="25"/>
  <c r="P91" i="25"/>
  <c r="O95" i="25"/>
  <c r="P79" i="25"/>
  <c r="P95" i="25" l="1"/>
  <c r="F29" i="50" l="1"/>
  <c r="F30" i="50"/>
  <c r="F31" i="50"/>
  <c r="F32" i="50"/>
  <c r="F33" i="50"/>
  <c r="F34" i="50"/>
  <c r="F35" i="50"/>
  <c r="F36" i="50"/>
  <c r="F28" i="50"/>
  <c r="M14" i="25" l="1"/>
  <c r="D199" i="49" l="1"/>
  <c r="E199" i="49" s="1"/>
  <c r="D200" i="49"/>
  <c r="E200" i="49" s="1"/>
  <c r="D201" i="49"/>
  <c r="E201" i="49" s="1"/>
  <c r="D202" i="49"/>
  <c r="E202" i="49" s="1"/>
  <c r="C200" i="49"/>
  <c r="C201" i="49"/>
  <c r="C202" i="49"/>
  <c r="C199" i="49"/>
  <c r="J172" i="49" l="1"/>
  <c r="J158" i="49"/>
  <c r="F60" i="49" l="1"/>
  <c r="J162" i="49"/>
  <c r="J161" i="49"/>
  <c r="J160" i="49"/>
  <c r="J159" i="49"/>
  <c r="J176" i="49"/>
  <c r="J175" i="49"/>
  <c r="J174" i="49"/>
  <c r="J173" i="49"/>
  <c r="J171" i="49"/>
  <c r="J157" i="49"/>
  <c r="L43" i="25" l="1"/>
  <c r="H38" i="19" l="1"/>
  <c r="L42" i="25" l="1"/>
  <c r="O41" i="25" l="1"/>
  <c r="K14" i="25" l="1"/>
  <c r="L14" i="25" s="1"/>
  <c r="J14" i="25"/>
  <c r="J64" i="19" l="1"/>
  <c r="I64" i="19"/>
  <c r="H64" i="19"/>
  <c r="F64" i="19"/>
  <c r="G54" i="19"/>
  <c r="E54" i="19"/>
  <c r="H62" i="42" l="1"/>
  <c r="G62" i="42"/>
  <c r="F62" i="42"/>
  <c r="D62" i="42"/>
  <c r="H61" i="42"/>
  <c r="G61" i="42"/>
  <c r="F61" i="42"/>
  <c r="D61" i="42"/>
  <c r="H60" i="42"/>
  <c r="G60" i="42"/>
  <c r="F60" i="42"/>
  <c r="D60" i="42"/>
  <c r="H59" i="42"/>
  <c r="G59" i="42"/>
  <c r="F59" i="42"/>
  <c r="D59" i="42"/>
  <c r="H58" i="42"/>
  <c r="G58" i="42"/>
  <c r="F58" i="42"/>
  <c r="D58" i="42"/>
  <c r="H57" i="42"/>
  <c r="G57" i="42"/>
  <c r="F57" i="42"/>
  <c r="D57" i="42"/>
  <c r="H56" i="42"/>
  <c r="G56" i="42"/>
  <c r="F56" i="42"/>
  <c r="D56" i="42"/>
  <c r="H55" i="42"/>
  <c r="G55" i="42"/>
  <c r="F55" i="42"/>
  <c r="D55" i="42"/>
  <c r="H54" i="42"/>
  <c r="G54" i="42"/>
  <c r="F54" i="42"/>
  <c r="D54" i="42"/>
  <c r="H53" i="42"/>
  <c r="G53" i="42"/>
  <c r="F53" i="42"/>
  <c r="D53" i="42"/>
  <c r="H52" i="42"/>
  <c r="G52" i="42"/>
  <c r="F52" i="42"/>
  <c r="D52" i="42"/>
  <c r="H51" i="42"/>
  <c r="G51" i="42"/>
  <c r="F51" i="42"/>
  <c r="D51" i="42"/>
  <c r="H50" i="42"/>
  <c r="G50" i="42"/>
  <c r="F50" i="42"/>
  <c r="D50" i="42"/>
  <c r="H49" i="42"/>
  <c r="G49" i="42"/>
  <c r="F49" i="42"/>
  <c r="D49" i="42"/>
  <c r="H48" i="42"/>
  <c r="G48" i="42"/>
  <c r="F48" i="42"/>
  <c r="D48" i="42"/>
  <c r="H47" i="42"/>
  <c r="G47" i="42"/>
  <c r="F47" i="42"/>
  <c r="D47" i="42"/>
  <c r="D45" i="42" s="1"/>
  <c r="H46" i="42"/>
  <c r="G46" i="42"/>
  <c r="F46" i="42"/>
  <c r="D46" i="42"/>
  <c r="E45" i="42"/>
  <c r="E63" i="42" s="1"/>
  <c r="C45" i="42"/>
  <c r="B45" i="42"/>
  <c r="H45" i="42" s="1"/>
  <c r="H44" i="42"/>
  <c r="G44" i="42"/>
  <c r="F44" i="42"/>
  <c r="D44" i="42"/>
  <c r="H43" i="42"/>
  <c r="G43" i="42"/>
  <c r="F43" i="42"/>
  <c r="D43" i="42"/>
  <c r="H42" i="42"/>
  <c r="G42" i="42"/>
  <c r="F42" i="42"/>
  <c r="D42" i="42"/>
  <c r="H41" i="42"/>
  <c r="G41" i="42"/>
  <c r="F41" i="42"/>
  <c r="D41" i="42"/>
  <c r="H40" i="42"/>
  <c r="G40" i="42"/>
  <c r="F40" i="42"/>
  <c r="D40" i="42"/>
  <c r="H39" i="42"/>
  <c r="G39" i="42"/>
  <c r="F39" i="42"/>
  <c r="D39" i="42"/>
  <c r="H38" i="42"/>
  <c r="G38" i="42"/>
  <c r="F38" i="42"/>
  <c r="D38" i="42"/>
  <c r="H37" i="42"/>
  <c r="G37" i="42"/>
  <c r="F37" i="42"/>
  <c r="D37" i="42"/>
  <c r="H36" i="42"/>
  <c r="G36" i="42"/>
  <c r="F36" i="42"/>
  <c r="D36" i="42"/>
  <c r="H35" i="42"/>
  <c r="G35" i="42"/>
  <c r="F35" i="42"/>
  <c r="D35" i="42"/>
  <c r="H34" i="42"/>
  <c r="G34" i="42"/>
  <c r="F34" i="42"/>
  <c r="D34" i="42"/>
  <c r="H33" i="42"/>
  <c r="G33" i="42"/>
  <c r="F33" i="42"/>
  <c r="D33" i="42"/>
  <c r="H32" i="42"/>
  <c r="G32" i="42"/>
  <c r="F32" i="42"/>
  <c r="D32" i="42"/>
  <c r="H31" i="42"/>
  <c r="G31" i="42"/>
  <c r="F31" i="42"/>
  <c r="D31" i="42"/>
  <c r="H30" i="42"/>
  <c r="G30" i="42"/>
  <c r="F30" i="42"/>
  <c r="D30" i="42"/>
  <c r="H29" i="42"/>
  <c r="G29" i="42"/>
  <c r="F29" i="42"/>
  <c r="D29" i="42"/>
  <c r="H28" i="42"/>
  <c r="G28" i="42"/>
  <c r="F28" i="42"/>
  <c r="D28" i="42"/>
  <c r="H27" i="42"/>
  <c r="G27" i="42"/>
  <c r="F27" i="42"/>
  <c r="D27" i="42"/>
  <c r="H26" i="42"/>
  <c r="G26" i="42"/>
  <c r="F26" i="42"/>
  <c r="D26" i="42"/>
  <c r="H25" i="42"/>
  <c r="G25" i="42"/>
  <c r="F25" i="42"/>
  <c r="D25" i="42"/>
  <c r="H24" i="42"/>
  <c r="G24" i="42"/>
  <c r="F24" i="42"/>
  <c r="D24" i="42"/>
  <c r="H23" i="42"/>
  <c r="G23" i="42"/>
  <c r="F23" i="42"/>
  <c r="D23" i="42"/>
  <c r="H22" i="42"/>
  <c r="G22" i="42"/>
  <c r="F22" i="42"/>
  <c r="D22" i="42"/>
  <c r="H21" i="42"/>
  <c r="G21" i="42"/>
  <c r="F21" i="42"/>
  <c r="D21" i="42"/>
  <c r="H20" i="42"/>
  <c r="G20" i="42"/>
  <c r="F20" i="42"/>
  <c r="D20" i="42"/>
  <c r="H19" i="42"/>
  <c r="G19" i="42"/>
  <c r="F19" i="42"/>
  <c r="D19" i="42"/>
  <c r="H18" i="42"/>
  <c r="G18" i="42"/>
  <c r="F18" i="42"/>
  <c r="D18" i="42"/>
  <c r="H17" i="42"/>
  <c r="G17" i="42"/>
  <c r="F17" i="42"/>
  <c r="D17" i="42"/>
  <c r="H16" i="42"/>
  <c r="G16" i="42"/>
  <c r="F16" i="42"/>
  <c r="D16" i="42"/>
  <c r="H15" i="42"/>
  <c r="G15" i="42"/>
  <c r="F15" i="42"/>
  <c r="D15" i="42"/>
  <c r="H14" i="42"/>
  <c r="G14" i="42"/>
  <c r="F14" i="42"/>
  <c r="D14" i="42"/>
  <c r="H13" i="42"/>
  <c r="G13" i="42"/>
  <c r="F13" i="42"/>
  <c r="D13" i="42"/>
  <c r="H12" i="42"/>
  <c r="G12" i="42"/>
  <c r="F12" i="42"/>
  <c r="D12" i="42"/>
  <c r="H11" i="42"/>
  <c r="G11" i="42"/>
  <c r="F11" i="42"/>
  <c r="D11" i="42"/>
  <c r="H10" i="42"/>
  <c r="G10" i="42"/>
  <c r="F10" i="42"/>
  <c r="D10" i="42"/>
  <c r="H9" i="42"/>
  <c r="G9" i="42"/>
  <c r="F9" i="42"/>
  <c r="D9" i="42"/>
  <c r="H8" i="42"/>
  <c r="G8" i="42"/>
  <c r="F8" i="42"/>
  <c r="D8" i="42"/>
  <c r="H7" i="42"/>
  <c r="G7" i="42"/>
  <c r="F7" i="42"/>
  <c r="D7" i="42"/>
  <c r="H6" i="42"/>
  <c r="G6" i="42"/>
  <c r="F6" i="42"/>
  <c r="D6" i="42"/>
  <c r="J36" i="20"/>
  <c r="I36" i="20"/>
  <c r="H36" i="20"/>
  <c r="G35" i="20"/>
  <c r="E35" i="20"/>
  <c r="D35" i="20"/>
  <c r="J34" i="20"/>
  <c r="I34" i="20"/>
  <c r="H34" i="20"/>
  <c r="J32" i="20"/>
  <c r="I32" i="20"/>
  <c r="H32" i="20"/>
  <c r="J31" i="20"/>
  <c r="I31" i="20"/>
  <c r="H31" i="20"/>
  <c r="J30" i="20"/>
  <c r="I30" i="20"/>
  <c r="H30" i="20"/>
  <c r="J29" i="20"/>
  <c r="I29" i="20"/>
  <c r="H29" i="20"/>
  <c r="J28" i="20"/>
  <c r="I28" i="20"/>
  <c r="H28" i="20"/>
  <c r="G27" i="20"/>
  <c r="E27" i="20"/>
  <c r="D27" i="20"/>
  <c r="F27" i="20" s="1"/>
  <c r="J25" i="20"/>
  <c r="I25" i="20"/>
  <c r="H25" i="20"/>
  <c r="J80" i="19"/>
  <c r="I80" i="19"/>
  <c r="H80" i="19"/>
  <c r="F80" i="19"/>
  <c r="G79" i="19"/>
  <c r="E79" i="19"/>
  <c r="D79" i="19"/>
  <c r="H78" i="19"/>
  <c r="F78" i="19"/>
  <c r="G77" i="19"/>
  <c r="E77" i="19"/>
  <c r="D77" i="19"/>
  <c r="J75" i="19"/>
  <c r="I75" i="19"/>
  <c r="L75" i="19" s="1"/>
  <c r="L74" i="19" s="1"/>
  <c r="L81" i="19" s="1"/>
  <c r="H75" i="19"/>
  <c r="F75" i="19"/>
  <c r="G74" i="19"/>
  <c r="E74" i="19"/>
  <c r="D74" i="19"/>
  <c r="J73" i="19"/>
  <c r="I73" i="19"/>
  <c r="H73" i="19"/>
  <c r="F73" i="19"/>
  <c r="J72" i="19"/>
  <c r="I72" i="19"/>
  <c r="H72" i="19"/>
  <c r="F72" i="19"/>
  <c r="J71" i="19"/>
  <c r="I71" i="19"/>
  <c r="H71" i="19"/>
  <c r="F71" i="19"/>
  <c r="J70" i="19"/>
  <c r="I70" i="19"/>
  <c r="H70" i="19"/>
  <c r="F70" i="19"/>
  <c r="J69" i="19"/>
  <c r="I69" i="19"/>
  <c r="H69" i="19"/>
  <c r="F69" i="19"/>
  <c r="G68" i="19"/>
  <c r="E68" i="19"/>
  <c r="D68" i="19"/>
  <c r="J67" i="19"/>
  <c r="I67" i="19"/>
  <c r="H67" i="19"/>
  <c r="F67" i="19"/>
  <c r="J66" i="19"/>
  <c r="I66" i="19"/>
  <c r="H66" i="19"/>
  <c r="F66" i="19"/>
  <c r="J63" i="19"/>
  <c r="I63" i="19"/>
  <c r="H63" i="19"/>
  <c r="F63" i="19"/>
  <c r="J62" i="19"/>
  <c r="I62" i="19"/>
  <c r="H62" i="19"/>
  <c r="F62" i="19"/>
  <c r="J61" i="19"/>
  <c r="I61" i="19"/>
  <c r="H61" i="19"/>
  <c r="F61" i="19"/>
  <c r="J60" i="19"/>
  <c r="I60" i="19"/>
  <c r="H60" i="19"/>
  <c r="F60" i="19"/>
  <c r="J59" i="19"/>
  <c r="I59" i="19"/>
  <c r="H59" i="19"/>
  <c r="F59" i="19"/>
  <c r="J58" i="19"/>
  <c r="I58" i="19"/>
  <c r="H58" i="19"/>
  <c r="F58" i="19"/>
  <c r="J57" i="19"/>
  <c r="I57" i="19"/>
  <c r="H57" i="19"/>
  <c r="F57" i="19"/>
  <c r="J56" i="19"/>
  <c r="I56" i="19"/>
  <c r="H56" i="19"/>
  <c r="F56" i="19"/>
  <c r="H55" i="19"/>
  <c r="H54" i="19"/>
  <c r="J53" i="19"/>
  <c r="I53" i="19"/>
  <c r="H53" i="19"/>
  <c r="F53" i="19"/>
  <c r="J52" i="19"/>
  <c r="I52" i="19"/>
  <c r="H52" i="19"/>
  <c r="F52" i="19"/>
  <c r="G51" i="19"/>
  <c r="E51" i="19"/>
  <c r="D51" i="19"/>
  <c r="J50" i="19"/>
  <c r="I50" i="19"/>
  <c r="H50" i="19"/>
  <c r="F50" i="19"/>
  <c r="J49" i="19"/>
  <c r="I49" i="19"/>
  <c r="H49" i="19"/>
  <c r="F49" i="19"/>
  <c r="J48" i="19"/>
  <c r="I48" i="19"/>
  <c r="H48" i="19"/>
  <c r="F48" i="19"/>
  <c r="J47" i="19"/>
  <c r="I47" i="19"/>
  <c r="H47" i="19"/>
  <c r="F47" i="19"/>
  <c r="J46" i="19"/>
  <c r="I46" i="19"/>
  <c r="H46" i="19"/>
  <c r="F46" i="19"/>
  <c r="J45" i="19"/>
  <c r="I45" i="19"/>
  <c r="H45" i="19"/>
  <c r="F45" i="19"/>
  <c r="J44" i="19"/>
  <c r="I44" i="19"/>
  <c r="H44" i="19"/>
  <c r="F44" i="19"/>
  <c r="J43" i="19"/>
  <c r="I43" i="19"/>
  <c r="H43" i="19"/>
  <c r="F43" i="19"/>
  <c r="J42" i="19"/>
  <c r="I42" i="19"/>
  <c r="H42" i="19"/>
  <c r="F42" i="19"/>
  <c r="G41" i="19"/>
  <c r="E41" i="19"/>
  <c r="D41" i="19"/>
  <c r="J39" i="19"/>
  <c r="I39" i="19"/>
  <c r="H39" i="19"/>
  <c r="J38" i="19"/>
  <c r="I38" i="19"/>
  <c r="L11" i="1" l="1"/>
  <c r="L10" i="1" s="1"/>
  <c r="L83" i="19"/>
  <c r="F35" i="20"/>
  <c r="G76" i="19"/>
  <c r="D76" i="19"/>
  <c r="I33" i="20"/>
  <c r="H77" i="19"/>
  <c r="D63" i="42"/>
  <c r="G45" i="42"/>
  <c r="Q41" i="25"/>
  <c r="F41" i="25"/>
  <c r="F45" i="42"/>
  <c r="F63" i="42" s="1"/>
  <c r="J27" i="20"/>
  <c r="F51" i="19"/>
  <c r="J79" i="19"/>
  <c r="P41" i="25"/>
  <c r="F68" i="19"/>
  <c r="I35" i="20"/>
  <c r="H35" i="20"/>
  <c r="J35" i="20"/>
  <c r="H33" i="20"/>
  <c r="J33" i="20"/>
  <c r="H27" i="20"/>
  <c r="G26" i="20"/>
  <c r="G37" i="20" s="1"/>
  <c r="F79" i="19"/>
  <c r="I79" i="19"/>
  <c r="I74" i="19"/>
  <c r="J74" i="19"/>
  <c r="I68" i="19"/>
  <c r="J68" i="19"/>
  <c r="J65" i="19"/>
  <c r="I65" i="19"/>
  <c r="G40" i="19"/>
  <c r="H51" i="19"/>
  <c r="I51" i="19"/>
  <c r="F41" i="19"/>
  <c r="I41" i="19"/>
  <c r="J41" i="19"/>
  <c r="B63" i="42"/>
  <c r="H63" i="42" s="1"/>
  <c r="C63" i="42"/>
  <c r="D26" i="20"/>
  <c r="I27" i="20"/>
  <c r="E26" i="20"/>
  <c r="F65" i="19"/>
  <c r="H68" i="19"/>
  <c r="H79" i="19"/>
  <c r="J51" i="19"/>
  <c r="H65" i="19"/>
  <c r="F74" i="19"/>
  <c r="E40" i="19"/>
  <c r="H74" i="19"/>
  <c r="E76" i="19"/>
  <c r="F77" i="19"/>
  <c r="H41" i="19"/>
  <c r="G39" i="20" l="1"/>
  <c r="C42" i="20"/>
  <c r="F26" i="20"/>
  <c r="F37" i="20" s="1"/>
  <c r="F39" i="20" s="1"/>
  <c r="R41" i="25"/>
  <c r="J26" i="20"/>
  <c r="H17" i="20"/>
  <c r="I17" i="20"/>
  <c r="J17" i="20"/>
  <c r="G63" i="42"/>
  <c r="I26" i="20"/>
  <c r="H26" i="20"/>
  <c r="E37" i="20"/>
  <c r="E39" i="20" s="1"/>
  <c r="D37" i="20"/>
  <c r="H40" i="19"/>
  <c r="J29" i="19"/>
  <c r="G81" i="19"/>
  <c r="H76" i="19"/>
  <c r="F76" i="19"/>
  <c r="I29" i="19"/>
  <c r="H29" i="19"/>
  <c r="E81" i="19"/>
  <c r="E83" i="19" s="1"/>
  <c r="J37" i="20" l="1"/>
  <c r="D39" i="20"/>
  <c r="I39" i="20" s="1"/>
  <c r="D42" i="20"/>
  <c r="G83" i="19"/>
  <c r="C86" i="19"/>
  <c r="D43" i="20"/>
  <c r="C43" i="20"/>
  <c r="H81" i="19"/>
  <c r="H83" i="19" s="1"/>
  <c r="I37" i="20"/>
  <c r="H37" i="20"/>
  <c r="H39" i="20" s="1"/>
  <c r="C27" i="1" l="1"/>
  <c r="C87" i="19"/>
  <c r="J39" i="20"/>
  <c r="H9" i="25"/>
  <c r="G9" i="25"/>
  <c r="E12" i="25"/>
  <c r="E10" i="25"/>
  <c r="E9" i="25"/>
  <c r="M9" i="25" s="1"/>
  <c r="D12" i="25"/>
  <c r="J12" i="25" s="1"/>
  <c r="D10" i="25"/>
  <c r="J10" i="25" s="1"/>
  <c r="D9" i="25"/>
  <c r="K10" i="25" l="1"/>
  <c r="L10" i="25" s="1"/>
  <c r="M10" i="25"/>
  <c r="K12" i="25"/>
  <c r="L12" i="25" s="1"/>
  <c r="M12" i="25"/>
  <c r="P43" i="25"/>
  <c r="Q43" i="25"/>
  <c r="P40" i="25"/>
  <c r="Q40" i="25"/>
  <c r="K9" i="25"/>
  <c r="J9" i="25"/>
  <c r="O40" i="25"/>
  <c r="I40" i="25"/>
  <c r="L40" i="25"/>
  <c r="I43" i="25"/>
  <c r="L9" i="25" l="1"/>
  <c r="R40" i="25"/>
  <c r="R43" i="25"/>
  <c r="O45" i="25" l="1"/>
  <c r="O42" i="25" l="1"/>
  <c r="H17" i="25"/>
  <c r="G8" i="25"/>
  <c r="H8" i="25"/>
  <c r="E17" i="25"/>
  <c r="M17" i="25" s="1"/>
  <c r="D17" i="25"/>
  <c r="E16" i="25"/>
  <c r="E15" i="25"/>
  <c r="D15" i="25"/>
  <c r="J15" i="25" s="1"/>
  <c r="E13" i="25"/>
  <c r="D13" i="25"/>
  <c r="J13" i="25" s="1"/>
  <c r="E8" i="25"/>
  <c r="M8" i="25" s="1"/>
  <c r="K15" i="25" l="1"/>
  <c r="L15" i="25" s="1"/>
  <c r="M15" i="25"/>
  <c r="K13" i="25"/>
  <c r="L13" i="25" s="1"/>
  <c r="M13" i="25"/>
  <c r="K16" i="25"/>
  <c r="M16" i="25"/>
  <c r="K17" i="25"/>
  <c r="K8" i="25"/>
  <c r="G17" i="25"/>
  <c r="I17" i="25" s="1"/>
  <c r="D8" i="25"/>
  <c r="J8" i="25" s="1"/>
  <c r="L8" i="25" l="1"/>
  <c r="J17" i="25"/>
  <c r="L17" i="25" s="1"/>
  <c r="D16" i="25"/>
  <c r="J16" i="25" s="1"/>
  <c r="L16" i="25" s="1"/>
  <c r="H11" i="25"/>
  <c r="E11" i="25"/>
  <c r="M11" i="25" s="1"/>
  <c r="G11" i="25"/>
  <c r="I11" i="25" l="1"/>
  <c r="K11" i="25"/>
  <c r="K18" i="25" s="1"/>
  <c r="F29" i="25" l="1"/>
  <c r="F15" i="25" l="1"/>
  <c r="O39" i="25" l="1"/>
  <c r="Q46" i="25" l="1"/>
  <c r="P46" i="25"/>
  <c r="R46" i="25" l="1"/>
  <c r="F28" i="25"/>
  <c r="Q39" i="25" l="1"/>
  <c r="P39" i="25"/>
  <c r="R39" i="25" l="1"/>
  <c r="F27" i="25"/>
  <c r="P45" i="25" l="1"/>
  <c r="F31" i="25" l="1"/>
  <c r="E32" i="25"/>
  <c r="H48" i="25"/>
  <c r="I9" i="25"/>
  <c r="L47" i="25" l="1"/>
  <c r="P47" i="25"/>
  <c r="Q45" i="25"/>
  <c r="R45" i="25" s="1"/>
  <c r="I44" i="25"/>
  <c r="I47" i="25"/>
  <c r="Q42" i="25"/>
  <c r="G48" i="25"/>
  <c r="L39" i="25"/>
  <c r="I39" i="25"/>
  <c r="F40" i="25"/>
  <c r="F43" i="25"/>
  <c r="I8" i="25"/>
  <c r="F9" i="25"/>
  <c r="F10" i="25"/>
  <c r="F12" i="25"/>
  <c r="H11" i="1"/>
  <c r="G18" i="25"/>
  <c r="E12" i="1"/>
  <c r="Q47" i="25" l="1"/>
  <c r="R47" i="25" s="1"/>
  <c r="I48" i="25"/>
  <c r="F45" i="25"/>
  <c r="F39" i="25"/>
  <c r="F47" i="25"/>
  <c r="F8" i="25"/>
  <c r="F17" i="25"/>
  <c r="F14" i="25"/>
  <c r="F13" i="25"/>
  <c r="H18" i="25"/>
  <c r="I18" i="25" s="1"/>
  <c r="F12" i="1"/>
  <c r="G12" i="1"/>
  <c r="D4" i="49" s="1"/>
  <c r="H12" i="1"/>
  <c r="H10" i="1" s="1"/>
  <c r="D12" i="1"/>
  <c r="C4" i="49" l="1"/>
  <c r="E4" i="49" s="1"/>
  <c r="P42" i="25"/>
  <c r="F42" i="25"/>
  <c r="F46" i="25"/>
  <c r="E18" i="25"/>
  <c r="G11" i="1"/>
  <c r="F16" i="25"/>
  <c r="E11" i="1"/>
  <c r="E10" i="1" l="1"/>
  <c r="G10" i="1"/>
  <c r="D3" i="49"/>
  <c r="R42" i="25"/>
  <c r="C26" i="1" l="1"/>
  <c r="D5" i="49"/>
  <c r="F26" i="25" l="1"/>
  <c r="F30" i="25" l="1"/>
  <c r="D32" i="25" l="1"/>
  <c r="F32" i="25" s="1"/>
  <c r="I12" i="1" l="1"/>
  <c r="J12" i="1"/>
  <c r="D48" i="25" l="1"/>
  <c r="F44" i="25" l="1"/>
  <c r="E48" i="25"/>
  <c r="F48" i="25" s="1"/>
  <c r="K48" i="25" l="1"/>
  <c r="L44" i="25"/>
  <c r="J48" i="25" l="1"/>
  <c r="L48" i="25" s="1"/>
  <c r="Q44" i="25" l="1"/>
  <c r="Q48" i="25" s="1"/>
  <c r="N48" i="25" l="1"/>
  <c r="M48" i="25" l="1"/>
  <c r="O48" i="25" s="1"/>
  <c r="P44" i="25"/>
  <c r="O44" i="25"/>
  <c r="P48" i="25" l="1"/>
  <c r="R48" i="25" s="1"/>
  <c r="R44" i="25"/>
  <c r="J55" i="19" l="1"/>
  <c r="I55" i="19"/>
  <c r="F55" i="19"/>
  <c r="D54" i="19"/>
  <c r="F54" i="19" l="1"/>
  <c r="I54" i="19"/>
  <c r="D40" i="19"/>
  <c r="J54" i="19"/>
  <c r="D11" i="25" l="1"/>
  <c r="F40" i="19"/>
  <c r="F81" i="19" s="1"/>
  <c r="I40" i="19"/>
  <c r="D81" i="19"/>
  <c r="J40" i="19"/>
  <c r="D83" i="19" l="1"/>
  <c r="D86" i="19"/>
  <c r="J83" i="19"/>
  <c r="I83" i="19"/>
  <c r="F11" i="1"/>
  <c r="F10" i="1" s="1"/>
  <c r="F83" i="19"/>
  <c r="D11" i="1"/>
  <c r="J81" i="19"/>
  <c r="I81" i="19"/>
  <c r="J11" i="25"/>
  <c r="D18" i="25"/>
  <c r="F18" i="25" s="1"/>
  <c r="F11" i="25"/>
  <c r="D87" i="19" l="1"/>
  <c r="D27" i="1"/>
  <c r="J18" i="25"/>
  <c r="L18" i="25" s="1"/>
  <c r="L11" i="25"/>
  <c r="I11" i="1"/>
  <c r="C3" i="49"/>
  <c r="D10" i="1"/>
  <c r="D26" i="1" s="1"/>
  <c r="J11" i="1"/>
  <c r="C5" i="49" l="1"/>
  <c r="E5" i="49" s="1"/>
  <c r="E3" i="49"/>
  <c r="J10" i="1"/>
  <c r="I10" i="1"/>
</calcChain>
</file>

<file path=xl/sharedStrings.xml><?xml version="1.0" encoding="utf-8"?>
<sst xmlns="http://schemas.openxmlformats.org/spreadsheetml/2006/main" count="1232" uniqueCount="390">
  <si>
    <t>CÓDIGO</t>
  </si>
  <si>
    <t>CATÁLOGO PRESUPUESTARIO</t>
  </si>
  <si>
    <t>PRESUPUESTO</t>
  </si>
  <si>
    <t>COMPROMISO</t>
  </si>
  <si>
    <t>DISPONIBILIDAD PRESUPUESTARIA</t>
  </si>
  <si>
    <t>DEVENGADO</t>
  </si>
  <si>
    <t>DISPONIBILIDAD POR DEVENGADO</t>
  </si>
  <si>
    <t>% COMPROMISO</t>
  </si>
  <si>
    <t>% EJECUCIÓN</t>
  </si>
  <si>
    <t>GASTOS EN PERSONAL</t>
  </si>
  <si>
    <t>BIENES Y SERVICIOS DE CONSUMO</t>
  </si>
  <si>
    <t>ADQUISICION DE ACTIVOS NO FINANCIEROS</t>
  </si>
  <si>
    <t>29.03</t>
  </si>
  <si>
    <t>Vehículos</t>
  </si>
  <si>
    <t>29.04</t>
  </si>
  <si>
    <t>Mobiliario y Otros</t>
  </si>
  <si>
    <t>29.05</t>
  </si>
  <si>
    <t>Máquinas y Equipos</t>
  </si>
  <si>
    <t>29.06</t>
  </si>
  <si>
    <t>Equipos Informáticos</t>
  </si>
  <si>
    <t>29.07</t>
  </si>
  <si>
    <t>Programas Informáticos</t>
  </si>
  <si>
    <t>TOTAL</t>
  </si>
  <si>
    <t>PROGRAMA 01 SUBSECRETARIA DE LAS CULTURAS Y LAS ARTES</t>
  </si>
  <si>
    <t>PRESTACIONES DE SEGURIDAD SOCIAL</t>
  </si>
  <si>
    <t>TRANSFERENCIAS CORRIENTES</t>
  </si>
  <si>
    <t>24.01</t>
  </si>
  <si>
    <t>Al Sector Privado</t>
  </si>
  <si>
    <t>24.01.081</t>
  </si>
  <si>
    <t>Fundación Artesanías De Chile</t>
  </si>
  <si>
    <t>24.01.188</t>
  </si>
  <si>
    <t>Corporación Cultural Municipalidad De Santiago</t>
  </si>
  <si>
    <t>24.01.268</t>
  </si>
  <si>
    <t>Orquestas Sinfónicas Juveniles E Infantiles De Chile</t>
  </si>
  <si>
    <t>24.01.269</t>
  </si>
  <si>
    <t>Centro Cultural Palacios De La Moneda</t>
  </si>
  <si>
    <t>24.01.279</t>
  </si>
  <si>
    <t>Corporación Centro Cultural Gabriela Mistral</t>
  </si>
  <si>
    <t>24.01.290</t>
  </si>
  <si>
    <t>Otras Instituciones Colaboradoras</t>
  </si>
  <si>
    <t>24.01.291</t>
  </si>
  <si>
    <t>Parque Cultural Valparaíso</t>
  </si>
  <si>
    <t>24.01.292</t>
  </si>
  <si>
    <t>Programa de Orquestas Regionales Profesionales</t>
  </si>
  <si>
    <t>24.02</t>
  </si>
  <si>
    <t>Al Gobierno Central</t>
  </si>
  <si>
    <t>24.02.002</t>
  </si>
  <si>
    <t>Ministerio De Relaciones Exteriores</t>
  </si>
  <si>
    <t>24.03</t>
  </si>
  <si>
    <t>A Otras Entidades Públicas</t>
  </si>
  <si>
    <t>24.03.087</t>
  </si>
  <si>
    <t>Actividades De Fomento Y Desarrollo Cultural</t>
  </si>
  <si>
    <t>24.03.098</t>
  </si>
  <si>
    <t>Conjuntos Artísticos Estables</t>
  </si>
  <si>
    <t>24.03.122</t>
  </si>
  <si>
    <t>Fomento del Arte en la Educación</t>
  </si>
  <si>
    <t>24.03.129</t>
  </si>
  <si>
    <t>24.03.135</t>
  </si>
  <si>
    <t>24.03.138</t>
  </si>
  <si>
    <t>24.03.139</t>
  </si>
  <si>
    <t>Programa Nacional de Desarrollo Artístico en la Educación</t>
  </si>
  <si>
    <t>24.03.145</t>
  </si>
  <si>
    <t>Programa de Exportación de Servicios</t>
  </si>
  <si>
    <t>INTEGROS AL FISCO</t>
  </si>
  <si>
    <t>31.02</t>
  </si>
  <si>
    <t>Proyectos</t>
  </si>
  <si>
    <t>TRANSFERENCIAS DE CAPITAL</t>
  </si>
  <si>
    <t>33.03</t>
  </si>
  <si>
    <t>33.03.002</t>
  </si>
  <si>
    <t>Programa de Financiamiento de Infraestructura Cultural Pública y/o Privada</t>
  </si>
  <si>
    <t>SERVICIO DE LA DEUDA</t>
  </si>
  <si>
    <t>34.07</t>
  </si>
  <si>
    <t>Deuda Flotante</t>
  </si>
  <si>
    <t xml:space="preserve"> </t>
  </si>
  <si>
    <t>PROGRAMA 02 FONDOS CULTURALES Y ARTÍSTICOS</t>
  </si>
  <si>
    <t>24.03.094</t>
  </si>
  <si>
    <t>Fondo Nacional De Fomento Del Libro Y La Lectura</t>
  </si>
  <si>
    <t>24.03.097</t>
  </si>
  <si>
    <t>Fondo Nacional De Desarrollo Cultural Y Las Artes</t>
  </si>
  <si>
    <t>24.03.520</t>
  </si>
  <si>
    <t>Fondos Para El Fomento De La Música Nacional</t>
  </si>
  <si>
    <t>24.03.521</t>
  </si>
  <si>
    <t>Fondo De Fomento Audiovisual</t>
  </si>
  <si>
    <t>TOTAL GASTOS</t>
  </si>
  <si>
    <t>MINISTERIO DE LAS CULTURAS, LAS ARTES Y EL PATRIMONIO</t>
  </si>
  <si>
    <t>-</t>
  </si>
  <si>
    <t>P01 Subsecretaría de las Culturas y las Artes</t>
  </si>
  <si>
    <t>P02 Fondos Culturales y Artísticos</t>
  </si>
  <si>
    <t>P01 Servicio Nacional del Patrimonio Cultural</t>
  </si>
  <si>
    <t>P02 Red de Bibliotecas Públicas</t>
  </si>
  <si>
    <t>P03 Consejo de Monumentos Nacionales</t>
  </si>
  <si>
    <t xml:space="preserve"> PROGRAMA PRESUPUESTARIO</t>
  </si>
  <si>
    <t>P01 Subsecretaría del Patrimonio Cultural</t>
  </si>
  <si>
    <t>TOTAL MINISTERIO</t>
  </si>
  <si>
    <t>SUBSECRETARÍA DE LAS CULTURAS Y LAS ARTES</t>
  </si>
  <si>
    <t>SUBSECRETARÍA DEL PATRIMONIO</t>
  </si>
  <si>
    <t>SERVICIO NACIONAL DEL PATRIMONIO</t>
  </si>
  <si>
    <t>EJECUCIÓN</t>
  </si>
  <si>
    <t>SUBTÍTULO</t>
  </si>
  <si>
    <t>DENOMINACIONES</t>
  </si>
  <si>
    <t>FONDOS CULTURALES Y ARTÍSTICOS</t>
  </si>
  <si>
    <t>%</t>
  </si>
  <si>
    <t>ADQUISICIÓN DE ACTIVOS NO FINANCIEROS</t>
  </si>
  <si>
    <t>INICIATIVAS DE INVERSIÓN</t>
  </si>
  <si>
    <t>SUBSECRETARÍA DEL PATRIMONIO CULTURAL</t>
  </si>
  <si>
    <t>SERVICIO NACIONAL DEL PATRIMONIO CULTURAL</t>
  </si>
  <si>
    <t>RED DE BIBLIOTECAS PÚBLICAS</t>
  </si>
  <si>
    <t>CONSEJO DE MONUMENTOS NACIONALES</t>
  </si>
  <si>
    <t>Fomento de las Artes e Industrias Creativas</t>
  </si>
  <si>
    <t>Comunicaciones</t>
  </si>
  <si>
    <t>24.03.146</t>
  </si>
  <si>
    <t>24.07</t>
  </si>
  <si>
    <t>A Organismos Internacionales</t>
  </si>
  <si>
    <t>Fomento y Desarrollo de Artes de la Visualidad</t>
  </si>
  <si>
    <t>24.07.001</t>
  </si>
  <si>
    <t>Organismos Internacionales</t>
  </si>
  <si>
    <t>24.03.522</t>
  </si>
  <si>
    <t>Fomento y Desarrollo de las Artes Escénicas</t>
  </si>
  <si>
    <t>24.02.001</t>
  </si>
  <si>
    <t>Secretaría General de Gobierno Consejo Nacional de Televisión</t>
  </si>
  <si>
    <t>FONDO DE EMERGENCIA TRANSITORIO</t>
  </si>
  <si>
    <t>SUBTÍTULO 22 PROGRAMA 01 SUBSECRETARÍA DE LAS CULTURAS Y LAS ARTES</t>
  </si>
  <si>
    <t>Unidad Demandante</t>
  </si>
  <si>
    <t>Presupuesto Vigente</t>
  </si>
  <si>
    <t>Comprometido</t>
  </si>
  <si>
    <t>Disponibilidad Presupuestaria</t>
  </si>
  <si>
    <t>Ejecutado</t>
  </si>
  <si>
    <t>Disponibilidad por Devengar</t>
  </si>
  <si>
    <t>Comprometido (%)</t>
  </si>
  <si>
    <t>Ejecutado
(%)</t>
  </si>
  <si>
    <t>Institucional</t>
  </si>
  <si>
    <t>Gabinete</t>
  </si>
  <si>
    <t>Subsecretaría</t>
  </si>
  <si>
    <t>Convención Cultura</t>
  </si>
  <si>
    <t>Planificación y Presupuesto</t>
  </si>
  <si>
    <t>Administración Valparaíso</t>
  </si>
  <si>
    <t>Administración Santiago</t>
  </si>
  <si>
    <t>Sección Coordinación Regional</t>
  </si>
  <si>
    <t>Ciudadanía Cultural</t>
  </si>
  <si>
    <t>Gestión de Personas</t>
  </si>
  <si>
    <t>Capacitación</t>
  </si>
  <si>
    <t>Sección de Tecnologías</t>
  </si>
  <si>
    <t>Jurídico</t>
  </si>
  <si>
    <t>Sección de Infraestructura</t>
  </si>
  <si>
    <t>Consejo Nacional</t>
  </si>
  <si>
    <t>Estudios</t>
  </si>
  <si>
    <t>Fiscalía</t>
  </si>
  <si>
    <t>Secretaría Administrativa y Documental</t>
  </si>
  <si>
    <t>Unidad de Auditoría</t>
  </si>
  <si>
    <t>Educación</t>
  </si>
  <si>
    <t>CNAC</t>
  </si>
  <si>
    <t>Seremi Tarapacá</t>
  </si>
  <si>
    <t>Seremi Antofagasta</t>
  </si>
  <si>
    <t>Seremi Atacama</t>
  </si>
  <si>
    <t>Seremi Coquimbo</t>
  </si>
  <si>
    <t>Seremi Valparaíso</t>
  </si>
  <si>
    <t>Seremi O'Higgins</t>
  </si>
  <si>
    <t>Seremi Maule</t>
  </si>
  <si>
    <t>Seremi Biobío</t>
  </si>
  <si>
    <t>Seremi Araucanía</t>
  </si>
  <si>
    <t>Seremi Los Lagos</t>
  </si>
  <si>
    <t>Seremi Aysén</t>
  </si>
  <si>
    <t>Seremi Magallanes</t>
  </si>
  <si>
    <t>Seremi Metropolitana</t>
  </si>
  <si>
    <t>Seremi Los  Ríos</t>
  </si>
  <si>
    <t>Seremi Arica y Parinacota</t>
  </si>
  <si>
    <t>Seremi Ñuble</t>
  </si>
  <si>
    <t>COVID19</t>
  </si>
  <si>
    <t>Nivel Central</t>
  </si>
  <si>
    <t xml:space="preserve">TOTAL </t>
  </si>
  <si>
    <t>25</t>
  </si>
  <si>
    <t>24.01.181</t>
  </si>
  <si>
    <t>Fundación Tiempos Nuevos</t>
  </si>
  <si>
    <t>P04 Museos Nacionales</t>
  </si>
  <si>
    <t>PROGRAMA 04</t>
  </si>
  <si>
    <t>MUSEOS NACIONALES</t>
  </si>
  <si>
    <t>PROGRAMA 01</t>
  </si>
  <si>
    <t>PROGRAMA 02</t>
  </si>
  <si>
    <t>PROGRAMA 03</t>
  </si>
  <si>
    <t>Reporte Ejecución al 31/12/2022</t>
  </si>
  <si>
    <t>Red Cultura y Puntos de Cultura Comunitaria</t>
  </si>
  <si>
    <t>Centros de Creación y Desarrollo Artístico para Niños/as y Jóvenes</t>
  </si>
  <si>
    <t>Fomento y Desarrollo de Ecosistemas Creativos</t>
  </si>
  <si>
    <t>24.03.150</t>
  </si>
  <si>
    <t>Promoción y Fortalecimiento del Trabajo Cultural</t>
  </si>
  <si>
    <t>% 
EJECUCIÓN</t>
  </si>
  <si>
    <t>PROGRAMA PRESUPUESTARIO</t>
  </si>
  <si>
    <t>PRESUPUESTO VIGENTE</t>
  </si>
  <si>
    <t>P02 Fondos  Culturales y Artísticos</t>
  </si>
  <si>
    <t>TOTAL SUBSECRETARÍA DE LAS CULTURAS Y LAS ARTES</t>
  </si>
  <si>
    <t>P50 Fondo de Emergencia Transitorio</t>
  </si>
  <si>
    <t>Ejecución Ministerio de las Culturas, las Artes y el Patrimonio</t>
  </si>
  <si>
    <t>Ejecución Subsecretaría del Patrimonio Cultural</t>
  </si>
  <si>
    <t>Ejecución Servicio Nacional del Patrimonio Cultural</t>
  </si>
  <si>
    <t>TOTAL MINISTERIO DE LAS CULTURAS, LAS ARTES Y EL PATRIMONIO</t>
  </si>
  <si>
    <t>TOTAL SUBSECRETARÍA DEL PATRIMONIO</t>
  </si>
  <si>
    <t>TOTAL SERVICIO NACIONAL DEL PATRIMONIO</t>
  </si>
  <si>
    <t>REGIÓN</t>
  </si>
  <si>
    <t>P01</t>
  </si>
  <si>
    <t>P02</t>
  </si>
  <si>
    <t>Presupuesto</t>
  </si>
  <si>
    <t>Ejecución</t>
  </si>
  <si>
    <t>% Ejecución</t>
  </si>
  <si>
    <t>Tarapacá</t>
  </si>
  <si>
    <t>Antofagasta</t>
  </si>
  <si>
    <t>Atacama</t>
  </si>
  <si>
    <t>Coquimbo</t>
  </si>
  <si>
    <t>Valparaíso</t>
  </si>
  <si>
    <t>O´Higgins</t>
  </si>
  <si>
    <t>Maule</t>
  </si>
  <si>
    <t>Bio Bío</t>
  </si>
  <si>
    <t>Araucanía</t>
  </si>
  <si>
    <t>Los Lagos</t>
  </si>
  <si>
    <t>Aysén</t>
  </si>
  <si>
    <t>Magallanes</t>
  </si>
  <si>
    <t>Metropolitana</t>
  </si>
  <si>
    <t>Los Ríos</t>
  </si>
  <si>
    <t>Arica</t>
  </si>
  <si>
    <t>Ñuble</t>
  </si>
  <si>
    <t>TOTALES</t>
  </si>
  <si>
    <t>TRANSFERENCIA 087 ACTIVIDADES DE FOMENTO Y DESARROLLO CULTURAL</t>
  </si>
  <si>
    <t>PROGRAMA INTERNO</t>
  </si>
  <si>
    <t xml:space="preserve">PRESUPUESTO </t>
  </si>
  <si>
    <t>Artesanía</t>
  </si>
  <si>
    <t>Arquitectura</t>
  </si>
  <si>
    <t>Diseño</t>
  </si>
  <si>
    <t>Economía Creativa</t>
  </si>
  <si>
    <t>Coordinación Fomento</t>
  </si>
  <si>
    <t>Chile en el Mundo</t>
  </si>
  <si>
    <t>Públicos y Territorios</t>
  </si>
  <si>
    <t>Escuelas de Rock</t>
  </si>
  <si>
    <t>Ciudadanía y Cultura</t>
  </si>
  <si>
    <t>Coordinación Ciudadanía</t>
  </si>
  <si>
    <t>Centro de Extensión</t>
  </si>
  <si>
    <t>Migrantes</t>
  </si>
  <si>
    <t>DDHH, Memoria y Cultura</t>
  </si>
  <si>
    <t>Desarrollo Cultural Regional</t>
  </si>
  <si>
    <t xml:space="preserve">Fortalecimiento de Identidad Cultural Regional </t>
  </si>
  <si>
    <t>Coordinación FICR</t>
  </si>
  <si>
    <t>Iniciativas Estratégicas Regionales</t>
  </si>
  <si>
    <t>Festival de las Artes Coquimbo</t>
  </si>
  <si>
    <t>Festival TAPATI</t>
  </si>
  <si>
    <t>Desarrollo Regional</t>
  </si>
  <si>
    <t>Relaciones Internacionales</t>
  </si>
  <si>
    <t>Coordinación Relaciones Internacionales</t>
  </si>
  <si>
    <t>Estudios y Evaluaciones</t>
  </si>
  <si>
    <t>Coordinación Estudios</t>
  </si>
  <si>
    <t>Gabinete Ministra</t>
  </si>
  <si>
    <t>Coordinación Gabinete Ministra</t>
  </si>
  <si>
    <t>Coordinación de Infraestructura</t>
  </si>
  <si>
    <t>Premios Nacionales</t>
  </si>
  <si>
    <t>Conmemoración 50 años</t>
  </si>
  <si>
    <t>Fundación de Orquestas Juveniles e Infantiles</t>
  </si>
  <si>
    <t>Cultura Digital</t>
  </si>
  <si>
    <t>Gabinete Subsecretaría</t>
  </si>
  <si>
    <t>Convención de Cultura</t>
  </si>
  <si>
    <t>Coordinación Regional</t>
  </si>
  <si>
    <t>Coordinación Derechos de Autor</t>
  </si>
  <si>
    <t>Agenda Género, Inclusión y no Discriminación</t>
  </si>
  <si>
    <t>Agenda Participación Ciudadana</t>
  </si>
  <si>
    <t>Desarrollo Institucional</t>
  </si>
  <si>
    <t>Gestión Programática (Planificación)</t>
  </si>
  <si>
    <t>Apoyo Administrativo (Administración)</t>
  </si>
  <si>
    <t>Gestión de Recursos Humanos</t>
  </si>
  <si>
    <t>Apoyo Jurídico</t>
  </si>
  <si>
    <t>Honorarios Permanentes</t>
  </si>
  <si>
    <t>Honorarios esporádicos apoyo</t>
  </si>
  <si>
    <t>Provisión</t>
  </si>
  <si>
    <t>Escuela Rock</t>
  </si>
  <si>
    <t>Redistribuir</t>
  </si>
  <si>
    <t>INGRESOS</t>
  </si>
  <si>
    <t>09</t>
  </si>
  <si>
    <t>APORTE FISCAL</t>
  </si>
  <si>
    <t>09.01</t>
  </si>
  <si>
    <t xml:space="preserve">Libre </t>
  </si>
  <si>
    <t>09.01.001</t>
  </si>
  <si>
    <t>Remuneraciones</t>
  </si>
  <si>
    <t>09.01.002</t>
  </si>
  <si>
    <t>Resto</t>
  </si>
  <si>
    <t>15</t>
  </si>
  <si>
    <t>SALDO INICIAL DE CAJA</t>
  </si>
  <si>
    <t>05</t>
  </si>
  <si>
    <t>05.02</t>
  </si>
  <si>
    <t>Del Gobierno Central</t>
  </si>
  <si>
    <t>05.02.003</t>
  </si>
  <si>
    <t>Secretaría y Administración General de Hacienda</t>
  </si>
  <si>
    <t>05.02.201</t>
  </si>
  <si>
    <t>Recuperación de Licencias Médicas - FONASA</t>
  </si>
  <si>
    <t>07</t>
  </si>
  <si>
    <t>INGRESOS DE OPERACIÓN</t>
  </si>
  <si>
    <t>08</t>
  </si>
  <si>
    <t>OTROS INGRESOS CORRIENTES</t>
  </si>
  <si>
    <t>08.01</t>
  </si>
  <si>
    <t>Recuperaciones y Reembolsos por Licencias Médicas</t>
  </si>
  <si>
    <t>08.02</t>
  </si>
  <si>
    <t>Multas y Sanciones Pecuniarias</t>
  </si>
  <si>
    <t>08.99</t>
  </si>
  <si>
    <t>Otros</t>
  </si>
  <si>
    <t>10</t>
  </si>
  <si>
    <t>VENTA DE ACTIVOS NO FINANCIEROS</t>
  </si>
  <si>
    <t>10.03</t>
  </si>
  <si>
    <t>12</t>
  </si>
  <si>
    <t>RECUPERACIÓN DE PRÉSTAMOS</t>
  </si>
  <si>
    <t>12.10</t>
  </si>
  <si>
    <t>Ingresos por Percibir</t>
  </si>
  <si>
    <t>GASTO</t>
  </si>
  <si>
    <t>Tren Cultural</t>
  </si>
  <si>
    <t>PRESUPUESTO
VIGENTE</t>
  </si>
  <si>
    <t>Planilla</t>
  </si>
  <si>
    <t>Asignación por Desempeño de Funciones Críticas</t>
  </si>
  <si>
    <t>Trabajos Extraordinarios</t>
  </si>
  <si>
    <t>Comisiones de Servicios en el País</t>
  </si>
  <si>
    <t>Comisiones de Servicios en el Exterior</t>
  </si>
  <si>
    <t>Honorarios a Suma Alzada - Personas Naturales</t>
  </si>
  <si>
    <t>Viáticos Consejeros</t>
  </si>
  <si>
    <t>Dietas a Consejeros</t>
  </si>
  <si>
    <t>Reporte Ejecución al 31/12/2023 - Cierre (En Miles de $)</t>
  </si>
  <si>
    <t>Dietas a Juntas, Consejos y Comisiones</t>
  </si>
  <si>
    <t>EFECTIVO</t>
  </si>
  <si>
    <t>DEUDA
FLOTANTE</t>
  </si>
  <si>
    <t>GASTOS</t>
  </si>
  <si>
    <t>PRESUPUESTO
INICIAL</t>
  </si>
  <si>
    <t>SUBTOTAL - Subtítulos 23,25 y 34</t>
  </si>
  <si>
    <t>Ejecución TOTAL - Subtítulos 23,25 y 34</t>
  </si>
  <si>
    <t>Ejecución TOTAL</t>
  </si>
  <si>
    <t>PROGRAMA 01: SUBSECRETARÍA DEL PATRIMONIO CULTURAL</t>
  </si>
  <si>
    <t>06</t>
  </si>
  <si>
    <t>RENTAS DE LA PROPIEDAD</t>
  </si>
  <si>
    <t>06.01</t>
  </si>
  <si>
    <t>Arriendo de Activos No Financieros</t>
  </si>
  <si>
    <t>24</t>
  </si>
  <si>
    <t>24.01.001</t>
  </si>
  <si>
    <t>Cuota Corporación Municipal Valparaíso Sitio Patrimonio Mundial</t>
  </si>
  <si>
    <t>24.03.003</t>
  </si>
  <si>
    <t>Diálogo Ciudadano</t>
  </si>
  <si>
    <t>PROGRAMA 01 SERVICIO NACIONAL DEL PATRIMONIO CULTURAL</t>
  </si>
  <si>
    <t>24.01.210</t>
  </si>
  <si>
    <t>Instituciones Colaboradoras</t>
  </si>
  <si>
    <t>24.01.212</t>
  </si>
  <si>
    <t>Museo San Francisco</t>
  </si>
  <si>
    <t>24.01.222</t>
  </si>
  <si>
    <t>Fundación Museo De La Memoria</t>
  </si>
  <si>
    <t>24.01.223</t>
  </si>
  <si>
    <t>Sitios Patrimonio Mundial</t>
  </si>
  <si>
    <t>24.01.225</t>
  </si>
  <si>
    <t>Fondo Concursable del Patrimonio</t>
  </si>
  <si>
    <t>24.02.004</t>
  </si>
  <si>
    <t>Corporación Nacional de Desarrollo Indígena</t>
  </si>
  <si>
    <t>24.03.192</t>
  </si>
  <si>
    <t>Acciones Culturales Complementarias</t>
  </si>
  <si>
    <t>24.03.193</t>
  </si>
  <si>
    <t>Centro Nacional del Patrimonio Mundial</t>
  </si>
  <si>
    <t>24.03.194</t>
  </si>
  <si>
    <t>Fomento y Desarrollo del Patrimonio Nacional</t>
  </si>
  <si>
    <t>24.03.195</t>
  </si>
  <si>
    <t>Sistema Nacional de Patrimonio Material e Inmaterial</t>
  </si>
  <si>
    <t>24.03.196</t>
  </si>
  <si>
    <t>Fomento y Difusión del Arte y las Culturas de Pueblos Originarios</t>
  </si>
  <si>
    <t>24.03.197</t>
  </si>
  <si>
    <t>Programa de Modernización del Sector Público</t>
  </si>
  <si>
    <t>24.03.198</t>
  </si>
  <si>
    <t>Consultas Públicas en la Gestión Patrimonial</t>
  </si>
  <si>
    <t>24.03.223</t>
  </si>
  <si>
    <t>Convenio con I.M. de Rapa Nui</t>
  </si>
  <si>
    <t>ADQUISICION DE ACTIVOS FINANCIEROS</t>
  </si>
  <si>
    <t>30.10</t>
  </si>
  <si>
    <t>Fondo de Emergencia Transitorio</t>
  </si>
  <si>
    <t>INICIATIVAS DE INVERSION</t>
  </si>
  <si>
    <t>33.01</t>
  </si>
  <si>
    <t>33.01.001</t>
  </si>
  <si>
    <t>Fondo de Mejoramiento Integral de Museos</t>
  </si>
  <si>
    <t>33.02</t>
  </si>
  <si>
    <t>33.02.029</t>
  </si>
  <si>
    <t>Subsecretaría de Desarrollo Regional y Administrativo</t>
  </si>
  <si>
    <t>Programa de Mejoramiento Integral de Bibliotecas P</t>
  </si>
  <si>
    <t>Fondo del Patrimonio Ley N°21.045</t>
  </si>
  <si>
    <t>Sistema Nacional de Patrimonio Material e Inmateri</t>
  </si>
  <si>
    <t>Fomento y Difusión del Arte y las Culturas de Pueb</t>
  </si>
  <si>
    <t>2403197</t>
  </si>
  <si>
    <t>Fondo del Patrimonio Ley N°21,045</t>
  </si>
  <si>
    <t>SALDO FINAL DE CAJA</t>
  </si>
  <si>
    <t>PROGRAMA 02 RED DE BIBLIOTECAS PÚBLICAS</t>
  </si>
  <si>
    <t>PROGRAMA 03 CONSEJO DE MONUMENTOS NACIONALES</t>
  </si>
  <si>
    <t>Al Sector Público</t>
  </si>
  <si>
    <t>24.03.240</t>
  </si>
  <si>
    <t>Tramitación de Rezagos</t>
  </si>
  <si>
    <t>PROGRAMA 04 MUSEOS NACIONALES</t>
  </si>
  <si>
    <t>23</t>
  </si>
  <si>
    <t>Reporte Ejecución al 31/12/2023 (En Miles de $)</t>
  </si>
  <si>
    <t>INGRESOS PERCIBIDOS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</si>
</sst>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 * #,##0_ ;_ * \-#,##0_ ;_ * &quot;-&quot;_ ;_ @_ "/>
    <numFmt numFmtId="164" formatCode="_-* #,##0_-;\-* #,##0_-;_-* &quot;-&quot;_-;_-@_-"/>
    <numFmt numFmtId="165" formatCode="0.0%"/>
    <numFmt numFmtId="166" formatCode="&quot;$&quot;\ #,##0"/>
    <numFmt numFmtId="167" formatCode="_-* #,##0.00_-;\-* #,##0.00_-;_-* &quot;-&quot;??_-;_-@_-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0000"/>
      <name val="Calibri"/>
      <family val="2"/>
    </font>
    <font>
      <b/>
      <sz val="8"/>
      <color rgb="FF000000"/>
      <name val="Calibri"/>
      <family val="2"/>
    </font>
    <font>
      <sz val="8"/>
      <color rgb="FF000000"/>
      <name val="Calibri"/>
      <family val="2"/>
    </font>
    <font>
      <b/>
      <sz val="36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0.5"/>
      <color rgb="FF000000"/>
      <name val="Calibri"/>
      <family val="2"/>
    </font>
    <font>
      <sz val="10.5"/>
      <color rgb="FFFF0000"/>
      <name val="Calibri"/>
      <family val="2"/>
      <scheme val="minor"/>
    </font>
    <font>
      <sz val="11"/>
      <color rgb="FF000000"/>
      <name val="Calibri"/>
      <family val="2"/>
    </font>
    <font>
      <b/>
      <sz val="10.5"/>
      <color rgb="FF000000"/>
      <name val="Calibri"/>
      <family val="2"/>
    </font>
    <font>
      <b/>
      <sz val="6"/>
      <color rgb="FF000000"/>
      <name val="Calibri"/>
      <family val="2"/>
    </font>
    <font>
      <b/>
      <sz val="5"/>
      <color rgb="FF000000"/>
      <name val="Calibri"/>
      <family val="2"/>
    </font>
    <font>
      <sz val="6"/>
      <color rgb="FF000000"/>
      <name val="Calibri"/>
      <family val="2"/>
    </font>
    <font>
      <b/>
      <sz val="9"/>
      <color rgb="FF000000"/>
      <name val="Calibri"/>
      <family val="2"/>
    </font>
    <font>
      <sz val="9"/>
      <color rgb="FF000000"/>
      <name val="Calibri"/>
      <family val="2"/>
    </font>
    <font>
      <sz val="10"/>
      <color rgb="FFFF0000"/>
      <name val="Calibri"/>
      <family val="2"/>
      <scheme val="minor"/>
    </font>
    <font>
      <sz val="10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color rgb="FF666666"/>
      <name val="Trebuchet MS"/>
      <family val="2"/>
    </font>
    <font>
      <sz val="9"/>
      <color rgb="FF666666"/>
      <name val="Trebuchet MS"/>
      <family val="2"/>
    </font>
    <font>
      <sz val="10"/>
      <name val="Calibri"/>
      <family val="2"/>
      <scheme val="minor"/>
    </font>
    <font>
      <b/>
      <i/>
      <sz val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D3DDED"/>
        <bgColor indexed="64"/>
      </patternFill>
    </fill>
    <fill>
      <patternFill patternType="solid">
        <fgColor theme="0" tint="-0.14999847407452621"/>
        <bgColor theme="4" tint="0.79998168889431442"/>
      </patternFill>
    </fill>
    <fill>
      <patternFill patternType="solid">
        <fgColor rgb="FFD9D9D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BEBEB"/>
        <bgColor indexed="64"/>
      </patternFill>
    </fill>
  </fills>
  <borders count="2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rgb="FF979991"/>
      </right>
      <top/>
      <bottom style="medium">
        <color rgb="FF979991"/>
      </bottom>
      <diagonal/>
    </border>
    <border>
      <left style="medium">
        <color rgb="FF979991"/>
      </left>
      <right/>
      <top/>
      <bottom/>
      <diagonal/>
    </border>
    <border>
      <left/>
      <right style="medium">
        <color rgb="FF979991"/>
      </right>
      <top/>
      <bottom/>
      <diagonal/>
    </border>
    <border>
      <left style="medium">
        <color rgb="FF979991"/>
      </left>
      <right style="medium">
        <color rgb="FF979991"/>
      </right>
      <top/>
      <bottom style="medium">
        <color rgb="FF97999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17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29" fillId="0" borderId="0" applyNumberFormat="0" applyFill="0" applyBorder="0" applyAlignment="0" applyProtection="0"/>
    <xf numFmtId="41" fontId="1" fillId="0" borderId="0" applyFont="0" applyFill="0" applyBorder="0" applyAlignment="0" applyProtection="0"/>
    <xf numFmtId="0" fontId="29" fillId="0" borderId="0" applyNumberFormat="0" applyFill="0" applyBorder="0" applyAlignment="0" applyProtection="0"/>
    <xf numFmtId="41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7" fillId="0" borderId="0"/>
    <xf numFmtId="41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</cellStyleXfs>
  <cellXfs count="323">
    <xf numFmtId="0" fontId="0" fillId="0" borderId="0" xfId="0"/>
    <xf numFmtId="49" fontId="4" fillId="2" borderId="1" xfId="0" applyNumberFormat="1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3" fontId="4" fillId="0" borderId="4" xfId="0" applyNumberFormat="1" applyFont="1" applyBorder="1" applyAlignment="1">
      <alignment horizontal="right" vertical="center"/>
    </xf>
    <xf numFmtId="165" fontId="4" fillId="0" borderId="5" xfId="1" applyNumberFormat="1" applyFont="1" applyBorder="1" applyAlignment="1">
      <alignment horizontal="center"/>
    </xf>
    <xf numFmtId="3" fontId="5" fillId="0" borderId="5" xfId="0" applyNumberFormat="1" applyFont="1" applyBorder="1"/>
    <xf numFmtId="165" fontId="5" fillId="0" borderId="5" xfId="1" applyNumberFormat="1" applyFont="1" applyBorder="1" applyAlignment="1">
      <alignment horizontal="center"/>
    </xf>
    <xf numFmtId="0" fontId="4" fillId="0" borderId="2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3" fontId="4" fillId="0" borderId="5" xfId="0" applyNumberFormat="1" applyFont="1" applyBorder="1" applyAlignment="1">
      <alignment horizontal="right" vertical="center"/>
    </xf>
    <xf numFmtId="0" fontId="5" fillId="0" borderId="6" xfId="0" applyFont="1" applyBorder="1" applyAlignment="1">
      <alignment vertical="center"/>
    </xf>
    <xf numFmtId="3" fontId="5" fillId="0" borderId="5" xfId="0" applyNumberFormat="1" applyFont="1" applyBorder="1" applyAlignment="1">
      <alignment horizontal="right" vertical="center"/>
    </xf>
    <xf numFmtId="49" fontId="5" fillId="0" borderId="1" xfId="0" applyNumberFormat="1" applyFont="1" applyBorder="1" applyAlignment="1">
      <alignment horizontal="left" vertical="center"/>
    </xf>
    <xf numFmtId="3" fontId="5" fillId="0" borderId="7" xfId="0" applyNumberFormat="1" applyFont="1" applyBorder="1" applyAlignment="1">
      <alignment horizontal="right" vertical="center"/>
    </xf>
    <xf numFmtId="0" fontId="5" fillId="0" borderId="2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3" fontId="4" fillId="2" borderId="5" xfId="0" applyNumberFormat="1" applyFont="1" applyFill="1" applyBorder="1" applyAlignment="1">
      <alignment horizontal="right" vertical="center"/>
    </xf>
    <xf numFmtId="165" fontId="4" fillId="2" borderId="5" xfId="1" applyNumberFormat="1" applyFont="1" applyFill="1" applyBorder="1" applyAlignment="1">
      <alignment horizontal="center"/>
    </xf>
    <xf numFmtId="49" fontId="0" fillId="0" borderId="0" xfId="0" applyNumberFormat="1"/>
    <xf numFmtId="3" fontId="0" fillId="0" borderId="0" xfId="0" applyNumberFormat="1"/>
    <xf numFmtId="49" fontId="6" fillId="0" borderId="1" xfId="0" applyNumberFormat="1" applyFont="1" applyBorder="1" applyAlignment="1">
      <alignment horizontal="left" vertical="center"/>
    </xf>
    <xf numFmtId="0" fontId="6" fillId="0" borderId="2" xfId="0" applyFont="1" applyBorder="1" applyAlignment="1">
      <alignment vertical="center"/>
    </xf>
    <xf numFmtId="3" fontId="6" fillId="0" borderId="5" xfId="0" applyNumberFormat="1" applyFont="1" applyBorder="1" applyAlignment="1">
      <alignment horizontal="right" vertical="center"/>
    </xf>
    <xf numFmtId="165" fontId="6" fillId="0" borderId="5" xfId="1" applyNumberFormat="1" applyFont="1" applyBorder="1" applyAlignment="1">
      <alignment horizontal="center"/>
    </xf>
    <xf numFmtId="0" fontId="7" fillId="0" borderId="0" xfId="0" applyFont="1"/>
    <xf numFmtId="0" fontId="5" fillId="0" borderId="1" xfId="0" applyFont="1" applyBorder="1" applyAlignment="1">
      <alignment vertical="center"/>
    </xf>
    <xf numFmtId="49" fontId="5" fillId="0" borderId="1" xfId="0" applyNumberFormat="1" applyFont="1" applyBorder="1" applyAlignment="1">
      <alignment horizontal="left" vertical="center" wrapText="1"/>
    </xf>
    <xf numFmtId="0" fontId="5" fillId="0" borderId="2" xfId="0" applyFont="1" applyBorder="1" applyAlignment="1">
      <alignment vertical="center" wrapText="1"/>
    </xf>
    <xf numFmtId="165" fontId="5" fillId="0" borderId="5" xfId="1" applyNumberFormat="1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8" fillId="0" borderId="0" xfId="0" applyFont="1"/>
    <xf numFmtId="3" fontId="4" fillId="0" borderId="1" xfId="0" applyNumberFormat="1" applyFont="1" applyBorder="1" applyAlignment="1">
      <alignment horizontal="right" vertical="center"/>
    </xf>
    <xf numFmtId="3" fontId="5" fillId="0" borderId="1" xfId="0" applyNumberFormat="1" applyFont="1" applyBorder="1" applyAlignment="1">
      <alignment horizontal="right" vertical="center"/>
    </xf>
    <xf numFmtId="0" fontId="6" fillId="0" borderId="1" xfId="0" applyFont="1" applyBorder="1" applyAlignment="1">
      <alignment vertical="center"/>
    </xf>
    <xf numFmtId="3" fontId="6" fillId="0" borderId="1" xfId="0" applyNumberFormat="1" applyFont="1" applyBorder="1" applyAlignment="1">
      <alignment horizontal="right" vertical="center"/>
    </xf>
    <xf numFmtId="3" fontId="2" fillId="2" borderId="1" xfId="0" applyNumberFormat="1" applyFont="1" applyFill="1" applyBorder="1" applyAlignment="1">
      <alignment horizontal="right" vertical="center" wrapText="1"/>
    </xf>
    <xf numFmtId="165" fontId="2" fillId="2" borderId="5" xfId="1" applyNumberFormat="1" applyFont="1" applyFill="1" applyBorder="1" applyAlignment="1">
      <alignment horizontal="center"/>
    </xf>
    <xf numFmtId="49" fontId="4" fillId="0" borderId="5" xfId="0" applyNumberFormat="1" applyFont="1" applyBorder="1" applyAlignment="1">
      <alignment horizontal="left" vertical="center"/>
    </xf>
    <xf numFmtId="49" fontId="5" fillId="0" borderId="10" xfId="0" applyNumberFormat="1" applyFont="1" applyBorder="1" applyAlignment="1">
      <alignment horizontal="left" vertical="center"/>
    </xf>
    <xf numFmtId="0" fontId="5" fillId="0" borderId="0" xfId="0" applyFont="1"/>
    <xf numFmtId="3" fontId="2" fillId="0" borderId="7" xfId="0" applyNumberFormat="1" applyFont="1" applyBorder="1" applyAlignment="1">
      <alignment horizontal="right" vertical="center" wrapText="1"/>
    </xf>
    <xf numFmtId="165" fontId="2" fillId="0" borderId="11" xfId="1" applyNumberFormat="1" applyFont="1" applyFill="1" applyBorder="1" applyAlignment="1">
      <alignment horizontal="center" vertical="center" wrapText="1"/>
    </xf>
    <xf numFmtId="3" fontId="0" fillId="0" borderId="5" xfId="0" applyNumberFormat="1" applyBorder="1" applyAlignment="1">
      <alignment horizontal="right" vertical="center"/>
    </xf>
    <xf numFmtId="165" fontId="0" fillId="0" borderId="5" xfId="1" applyNumberFormat="1" applyFont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3" fontId="2" fillId="0" borderId="5" xfId="0" applyNumberFormat="1" applyFont="1" applyBorder="1" applyAlignment="1">
      <alignment horizontal="right" vertical="center"/>
    </xf>
    <xf numFmtId="3" fontId="2" fillId="0" borderId="5" xfId="0" applyNumberFormat="1" applyFont="1" applyBorder="1" applyAlignment="1">
      <alignment vertical="center"/>
    </xf>
    <xf numFmtId="3" fontId="0" fillId="0" borderId="5" xfId="0" applyNumberFormat="1" applyBorder="1" applyAlignment="1">
      <alignment horizontal="left" vertical="center" indent="3"/>
    </xf>
    <xf numFmtId="0" fontId="0" fillId="0" borderId="5" xfId="0" applyBorder="1" applyAlignment="1">
      <alignment horizontal="left" vertical="center" indent="3"/>
    </xf>
    <xf numFmtId="0" fontId="12" fillId="3" borderId="4" xfId="0" applyFont="1" applyFill="1" applyBorder="1" applyAlignment="1">
      <alignment horizontal="center" vertical="center" wrapText="1" readingOrder="1"/>
    </xf>
    <xf numFmtId="0" fontId="12" fillId="3" borderId="10" xfId="0" applyFont="1" applyFill="1" applyBorder="1" applyAlignment="1">
      <alignment horizontal="center" vertical="center" wrapText="1" readingOrder="1"/>
    </xf>
    <xf numFmtId="0" fontId="13" fillId="0" borderId="1" xfId="0" applyFont="1" applyBorder="1" applyAlignment="1">
      <alignment horizontal="center" vertical="center" wrapText="1" readingOrder="1"/>
    </xf>
    <xf numFmtId="0" fontId="13" fillId="0" borderId="1" xfId="0" applyFont="1" applyBorder="1" applyAlignment="1">
      <alignment horizontal="left" vertical="center" wrapText="1" readingOrder="1"/>
    </xf>
    <xf numFmtId="3" fontId="13" fillId="0" borderId="1" xfId="0" applyNumberFormat="1" applyFont="1" applyBorder="1" applyAlignment="1">
      <alignment horizontal="right" vertical="center" wrapText="1" readingOrder="1"/>
    </xf>
    <xf numFmtId="3" fontId="12" fillId="3" borderId="1" xfId="0" applyNumberFormat="1" applyFont="1" applyFill="1" applyBorder="1" applyAlignment="1">
      <alignment horizontal="right" vertical="center" wrapText="1" readingOrder="1"/>
    </xf>
    <xf numFmtId="165" fontId="13" fillId="0" borderId="1" xfId="1" applyNumberFormat="1" applyFont="1" applyBorder="1" applyAlignment="1">
      <alignment horizontal="center" vertical="center" wrapText="1" readingOrder="1"/>
    </xf>
    <xf numFmtId="41" fontId="13" fillId="0" borderId="1" xfId="0" applyNumberFormat="1" applyFont="1" applyBorder="1" applyAlignment="1">
      <alignment horizontal="center" vertical="center" wrapText="1" readingOrder="1"/>
    </xf>
    <xf numFmtId="165" fontId="13" fillId="0" borderId="1" xfId="0" applyNumberFormat="1" applyFont="1" applyBorder="1" applyAlignment="1">
      <alignment horizontal="center" vertical="center" wrapText="1" readingOrder="1"/>
    </xf>
    <xf numFmtId="165" fontId="12" fillId="3" borderId="1" xfId="0" applyNumberFormat="1" applyFont="1" applyFill="1" applyBorder="1" applyAlignment="1">
      <alignment horizontal="center" vertical="center" wrapText="1" readingOrder="1"/>
    </xf>
    <xf numFmtId="164" fontId="0" fillId="0" borderId="0" xfId="5" applyFont="1"/>
    <xf numFmtId="0" fontId="4" fillId="2" borderId="5" xfId="0" applyFont="1" applyFill="1" applyBorder="1" applyAlignment="1">
      <alignment horizontal="center" vertical="center" wrapText="1"/>
    </xf>
    <xf numFmtId="3" fontId="5" fillId="0" borderId="4" xfId="0" applyNumberFormat="1" applyFont="1" applyBorder="1" applyAlignment="1">
      <alignment horizontal="right" vertical="center"/>
    </xf>
    <xf numFmtId="3" fontId="6" fillId="0" borderId="4" xfId="0" applyNumberFormat="1" applyFont="1" applyBorder="1" applyAlignment="1">
      <alignment horizontal="right" vertical="center"/>
    </xf>
    <xf numFmtId="0" fontId="11" fillId="4" borderId="5" xfId="0" applyFont="1" applyFill="1" applyBorder="1" applyAlignment="1">
      <alignment horizontal="center" vertical="center" wrapText="1" readingOrder="1"/>
    </xf>
    <xf numFmtId="165" fontId="5" fillId="0" borderId="5" xfId="1" applyNumberFormat="1" applyFont="1" applyFill="1" applyBorder="1" applyAlignment="1">
      <alignment horizontal="center"/>
    </xf>
    <xf numFmtId="3" fontId="2" fillId="0" borderId="7" xfId="0" applyNumberFormat="1" applyFont="1" applyBorder="1" applyAlignment="1">
      <alignment horizontal="right" vertical="center"/>
    </xf>
    <xf numFmtId="3" fontId="11" fillId="4" borderId="10" xfId="0" applyNumberFormat="1" applyFont="1" applyFill="1" applyBorder="1" applyAlignment="1">
      <alignment horizontal="right" vertical="center" wrapText="1" readingOrder="1"/>
    </xf>
    <xf numFmtId="49" fontId="4" fillId="0" borderId="10" xfId="0" applyNumberFormat="1" applyFont="1" applyBorder="1" applyAlignment="1">
      <alignment horizontal="left" vertical="center"/>
    </xf>
    <xf numFmtId="0" fontId="4" fillId="0" borderId="6" xfId="0" applyFont="1" applyBorder="1" applyAlignment="1">
      <alignment vertical="center"/>
    </xf>
    <xf numFmtId="165" fontId="4" fillId="0" borderId="7" xfId="1" applyNumberFormat="1" applyFont="1" applyBorder="1" applyAlignment="1">
      <alignment horizontal="center"/>
    </xf>
    <xf numFmtId="165" fontId="11" fillId="4" borderId="10" xfId="0" applyNumberFormat="1" applyFont="1" applyFill="1" applyBorder="1" applyAlignment="1">
      <alignment horizontal="center" vertical="center" wrapText="1" readingOrder="1"/>
    </xf>
    <xf numFmtId="0" fontId="9" fillId="5" borderId="5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left"/>
    </xf>
    <xf numFmtId="49" fontId="5" fillId="0" borderId="5" xfId="0" applyNumberFormat="1" applyFont="1" applyBorder="1" applyAlignment="1">
      <alignment horizontal="left"/>
    </xf>
    <xf numFmtId="49" fontId="8" fillId="0" borderId="5" xfId="0" applyNumberFormat="1" applyFont="1" applyBorder="1" applyAlignment="1">
      <alignment horizontal="left" indent="3"/>
    </xf>
    <xf numFmtId="3" fontId="8" fillId="0" borderId="5" xfId="0" applyNumberFormat="1" applyFont="1" applyBorder="1"/>
    <xf numFmtId="0" fontId="4" fillId="5" borderId="5" xfId="0" applyFont="1" applyFill="1" applyBorder="1" applyAlignment="1">
      <alignment horizontal="left"/>
    </xf>
    <xf numFmtId="3" fontId="4" fillId="5" borderId="5" xfId="0" applyNumberFormat="1" applyFont="1" applyFill="1" applyBorder="1"/>
    <xf numFmtId="49" fontId="14" fillId="0" borderId="0" xfId="0" applyNumberFormat="1" applyFont="1" applyAlignment="1">
      <alignment vertical="center"/>
    </xf>
    <xf numFmtId="41" fontId="13" fillId="0" borderId="1" xfId="0" applyNumberFormat="1" applyFont="1" applyBorder="1" applyAlignment="1">
      <alignment horizontal="right" vertical="center" wrapText="1" readingOrder="1"/>
    </xf>
    <xf numFmtId="0" fontId="12" fillId="0" borderId="0" xfId="0" applyFont="1" applyAlignment="1">
      <alignment horizontal="center" vertical="center" wrapText="1" readingOrder="1"/>
    </xf>
    <xf numFmtId="165" fontId="13" fillId="0" borderId="0" xfId="0" applyNumberFormat="1" applyFont="1" applyAlignment="1">
      <alignment horizontal="center" vertical="center" wrapText="1" readingOrder="1"/>
    </xf>
    <xf numFmtId="165" fontId="12" fillId="0" borderId="0" xfId="0" applyNumberFormat="1" applyFont="1" applyAlignment="1">
      <alignment horizontal="center" vertical="center" wrapText="1" readingOrder="1"/>
    </xf>
    <xf numFmtId="0" fontId="11" fillId="4" borderId="10" xfId="0" applyFont="1" applyFill="1" applyBorder="1" applyAlignment="1">
      <alignment horizontal="center" vertical="center" wrapText="1" readingOrder="1"/>
    </xf>
    <xf numFmtId="49" fontId="15" fillId="0" borderId="2" xfId="0" applyNumberFormat="1" applyFont="1" applyBorder="1" applyAlignment="1">
      <alignment horizontal="center" vertical="center"/>
    </xf>
    <xf numFmtId="165" fontId="12" fillId="3" borderId="1" xfId="1" applyNumberFormat="1" applyFont="1" applyFill="1" applyBorder="1" applyAlignment="1">
      <alignment horizontal="center" vertical="center" wrapText="1" readingOrder="1"/>
    </xf>
    <xf numFmtId="0" fontId="0" fillId="0" borderId="0" xfId="0" applyAlignment="1">
      <alignment vertical="center" readingOrder="1"/>
    </xf>
    <xf numFmtId="49" fontId="4" fillId="2" borderId="5" xfId="0" applyNumberFormat="1" applyFont="1" applyFill="1" applyBorder="1" applyAlignment="1">
      <alignment horizontal="left" vertical="center" wrapText="1"/>
    </xf>
    <xf numFmtId="49" fontId="4" fillId="0" borderId="0" xfId="0" applyNumberFormat="1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3" fontId="4" fillId="0" borderId="0" xfId="0" applyNumberFormat="1" applyFont="1"/>
    <xf numFmtId="165" fontId="4" fillId="0" borderId="0" xfId="1" applyNumberFormat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0" fillId="0" borderId="7" xfId="0" applyFont="1" applyBorder="1" applyAlignment="1">
      <alignment horizontal="left" vertical="center" wrapText="1"/>
    </xf>
    <xf numFmtId="164" fontId="8" fillId="0" borderId="0" xfId="5" applyFont="1" applyAlignment="1"/>
    <xf numFmtId="0" fontId="16" fillId="0" borderId="17" xfId="0" applyFont="1" applyBorder="1" applyAlignment="1">
      <alignment horizontal="center" vertical="center" wrapText="1" readingOrder="1"/>
    </xf>
    <xf numFmtId="0" fontId="17" fillId="0" borderId="12" xfId="0" applyFont="1" applyBorder="1" applyAlignment="1">
      <alignment horizontal="left" wrapText="1" readingOrder="1"/>
    </xf>
    <xf numFmtId="3" fontId="17" fillId="0" borderId="12" xfId="0" applyNumberFormat="1" applyFont="1" applyBorder="1" applyAlignment="1">
      <alignment horizontal="center" wrapText="1" readingOrder="1"/>
    </xf>
    <xf numFmtId="0" fontId="17" fillId="0" borderId="0" xfId="0" applyFont="1" applyAlignment="1">
      <alignment horizontal="left" wrapText="1" readingOrder="1"/>
    </xf>
    <xf numFmtId="3" fontId="17" fillId="0" borderId="0" xfId="0" applyNumberFormat="1" applyFont="1" applyAlignment="1">
      <alignment horizontal="center" wrapText="1" readingOrder="1"/>
    </xf>
    <xf numFmtId="0" fontId="18" fillId="6" borderId="13" xfId="0" applyFont="1" applyFill="1" applyBorder="1" applyAlignment="1">
      <alignment horizontal="left" wrapText="1" readingOrder="1"/>
    </xf>
    <xf numFmtId="3" fontId="16" fillId="6" borderId="13" xfId="0" applyNumberFormat="1" applyFont="1" applyFill="1" applyBorder="1" applyAlignment="1">
      <alignment horizontal="center" wrapText="1" readingOrder="1"/>
    </xf>
    <xf numFmtId="165" fontId="17" fillId="0" borderId="12" xfId="0" applyNumberFormat="1" applyFont="1" applyBorder="1" applyAlignment="1">
      <alignment horizontal="center" vertical="center" wrapText="1" readingOrder="1"/>
    </xf>
    <xf numFmtId="165" fontId="17" fillId="0" borderId="0" xfId="0" applyNumberFormat="1" applyFont="1" applyAlignment="1">
      <alignment horizontal="center" vertical="center" wrapText="1" readingOrder="1"/>
    </xf>
    <xf numFmtId="165" fontId="16" fillId="6" borderId="13" xfId="0" applyNumberFormat="1" applyFont="1" applyFill="1" applyBorder="1" applyAlignment="1">
      <alignment horizontal="center" vertical="center" wrapText="1" readingOrder="1"/>
    </xf>
    <xf numFmtId="3" fontId="19" fillId="0" borderId="0" xfId="0" applyNumberFormat="1" applyFont="1" applyAlignment="1">
      <alignment horizontal="center" vertical="center"/>
    </xf>
    <xf numFmtId="0" fontId="11" fillId="0" borderId="17" xfId="0" applyFont="1" applyBorder="1" applyAlignment="1">
      <alignment horizontal="center" vertical="center" wrapText="1" readingOrder="1"/>
    </xf>
    <xf numFmtId="0" fontId="20" fillId="0" borderId="12" xfId="0" applyFont="1" applyBorder="1" applyAlignment="1">
      <alignment horizontal="left" wrapText="1" readingOrder="1"/>
    </xf>
    <xf numFmtId="3" fontId="20" fillId="0" borderId="12" xfId="0" applyNumberFormat="1" applyFont="1" applyBorder="1" applyAlignment="1">
      <alignment horizontal="center" wrapText="1" readingOrder="1"/>
    </xf>
    <xf numFmtId="10" fontId="20" fillId="0" borderId="12" xfId="0" applyNumberFormat="1" applyFont="1" applyBorder="1" applyAlignment="1">
      <alignment horizontal="center" vertical="center" wrapText="1" readingOrder="1"/>
    </xf>
    <xf numFmtId="0" fontId="20" fillId="0" borderId="0" xfId="0" applyFont="1" applyAlignment="1">
      <alignment horizontal="left" wrapText="1" readingOrder="1"/>
    </xf>
    <xf numFmtId="3" fontId="20" fillId="0" borderId="0" xfId="0" applyNumberFormat="1" applyFont="1" applyAlignment="1">
      <alignment horizontal="center" wrapText="1" readingOrder="1"/>
    </xf>
    <xf numFmtId="10" fontId="20" fillId="0" borderId="0" xfId="0" applyNumberFormat="1" applyFont="1" applyAlignment="1">
      <alignment horizontal="center" vertical="center" wrapText="1" readingOrder="1"/>
    </xf>
    <xf numFmtId="0" fontId="20" fillId="0" borderId="0" xfId="0" applyFont="1" applyAlignment="1">
      <alignment horizontal="center" wrapText="1" readingOrder="1"/>
    </xf>
    <xf numFmtId="0" fontId="21" fillId="6" borderId="13" xfId="0" applyFont="1" applyFill="1" applyBorder="1" applyAlignment="1">
      <alignment horizontal="left" wrapText="1" readingOrder="1"/>
    </xf>
    <xf numFmtId="3" fontId="11" fillId="6" borderId="13" xfId="0" applyNumberFormat="1" applyFont="1" applyFill="1" applyBorder="1" applyAlignment="1">
      <alignment horizontal="center" wrapText="1" readingOrder="1"/>
    </xf>
    <xf numFmtId="10" fontId="11" fillId="6" borderId="13" xfId="0" applyNumberFormat="1" applyFont="1" applyFill="1" applyBorder="1" applyAlignment="1">
      <alignment horizontal="center" vertical="center" wrapText="1" readingOrder="1"/>
    </xf>
    <xf numFmtId="0" fontId="23" fillId="3" borderId="4" xfId="0" applyFont="1" applyFill="1" applyBorder="1" applyAlignment="1">
      <alignment horizontal="center" vertical="center" wrapText="1" readingOrder="1"/>
    </xf>
    <xf numFmtId="0" fontId="23" fillId="3" borderId="10" xfId="0" applyFont="1" applyFill="1" applyBorder="1" applyAlignment="1">
      <alignment horizontal="center" vertical="center" wrapText="1" readingOrder="1"/>
    </xf>
    <xf numFmtId="0" fontId="24" fillId="0" borderId="1" xfId="0" applyFont="1" applyBorder="1" applyAlignment="1">
      <alignment horizontal="center" vertical="center" wrapText="1" readingOrder="1"/>
    </xf>
    <xf numFmtId="0" fontId="24" fillId="0" borderId="1" xfId="0" applyFont="1" applyBorder="1" applyAlignment="1">
      <alignment horizontal="left" vertical="center" wrapText="1" readingOrder="1"/>
    </xf>
    <xf numFmtId="3" fontId="24" fillId="0" borderId="1" xfId="0" applyNumberFormat="1" applyFont="1" applyBorder="1" applyAlignment="1">
      <alignment horizontal="right" vertical="center" wrapText="1" readingOrder="1"/>
    </xf>
    <xf numFmtId="10" fontId="24" fillId="0" borderId="1" xfId="0" applyNumberFormat="1" applyFont="1" applyBorder="1" applyAlignment="1">
      <alignment horizontal="center" vertical="center" wrapText="1" readingOrder="1"/>
    </xf>
    <xf numFmtId="0" fontId="24" fillId="0" borderId="1" xfId="0" applyFont="1" applyBorder="1" applyAlignment="1">
      <alignment horizontal="right" vertical="center" wrapText="1" readingOrder="1"/>
    </xf>
    <xf numFmtId="165" fontId="0" fillId="0" borderId="0" xfId="1" applyNumberFormat="1" applyFont="1"/>
    <xf numFmtId="165" fontId="0" fillId="0" borderId="0" xfId="0" applyNumberFormat="1"/>
    <xf numFmtId="165" fontId="16" fillId="6" borderId="13" xfId="1" applyNumberFormat="1" applyFont="1" applyFill="1" applyBorder="1" applyAlignment="1">
      <alignment horizontal="center" wrapText="1" readingOrder="1"/>
    </xf>
    <xf numFmtId="0" fontId="2" fillId="0" borderId="7" xfId="0" applyFont="1" applyBorder="1" applyAlignment="1">
      <alignment horizontal="left" vertical="center" wrapText="1"/>
    </xf>
    <xf numFmtId="3" fontId="0" fillId="0" borderId="7" xfId="0" applyNumberFormat="1" applyBorder="1" applyAlignment="1">
      <alignment horizontal="right" vertical="center"/>
    </xf>
    <xf numFmtId="165" fontId="0" fillId="0" borderId="0" xfId="1" applyNumberFormat="1" applyFont="1" applyAlignment="1">
      <alignment horizontal="center" vertical="center"/>
    </xf>
    <xf numFmtId="165" fontId="2" fillId="0" borderId="0" xfId="1" applyNumberFormat="1" applyFont="1" applyAlignment="1">
      <alignment horizontal="center" vertical="center"/>
    </xf>
    <xf numFmtId="0" fontId="25" fillId="3" borderId="1" xfId="0" applyFont="1" applyFill="1" applyBorder="1" applyAlignment="1">
      <alignment horizontal="center" vertical="center" wrapText="1" readingOrder="1"/>
    </xf>
    <xf numFmtId="0" fontId="26" fillId="0" borderId="1" xfId="0" applyFont="1" applyBorder="1" applyAlignment="1">
      <alignment horizontal="left" vertical="center" wrapText="1" readingOrder="1"/>
    </xf>
    <xf numFmtId="3" fontId="26" fillId="0" borderId="1" xfId="0" applyNumberFormat="1" applyFont="1" applyBorder="1" applyAlignment="1">
      <alignment horizontal="right" vertical="center" wrapText="1" readingOrder="1"/>
    </xf>
    <xf numFmtId="9" fontId="25" fillId="0" borderId="1" xfId="0" applyNumberFormat="1" applyFont="1" applyBorder="1" applyAlignment="1">
      <alignment horizontal="center" vertical="center" wrapText="1" readingOrder="1"/>
    </xf>
    <xf numFmtId="3" fontId="25" fillId="3" borderId="1" xfId="0" applyNumberFormat="1" applyFont="1" applyFill="1" applyBorder="1" applyAlignment="1">
      <alignment horizontal="right" vertical="center" wrapText="1" readingOrder="1"/>
    </xf>
    <xf numFmtId="0" fontId="4" fillId="2" borderId="5" xfId="0" applyFont="1" applyFill="1" applyBorder="1" applyAlignment="1">
      <alignment vertical="center"/>
    </xf>
    <xf numFmtId="3" fontId="4" fillId="2" borderId="5" xfId="0" applyNumberFormat="1" applyFont="1" applyFill="1" applyBorder="1" applyAlignment="1">
      <alignment vertical="center"/>
    </xf>
    <xf numFmtId="165" fontId="4" fillId="2" borderId="5" xfId="1" applyNumberFormat="1" applyFont="1" applyFill="1" applyBorder="1" applyAlignment="1">
      <alignment horizontal="center" vertical="center"/>
    </xf>
    <xf numFmtId="0" fontId="5" fillId="0" borderId="5" xfId="0" applyFont="1" applyBorder="1" applyAlignment="1">
      <alignment vertical="center"/>
    </xf>
    <xf numFmtId="3" fontId="5" fillId="0" borderId="5" xfId="0" applyNumberFormat="1" applyFont="1" applyBorder="1" applyAlignment="1">
      <alignment vertical="center"/>
    </xf>
    <xf numFmtId="0" fontId="5" fillId="0" borderId="5" xfId="0" applyFont="1" applyBorder="1" applyAlignment="1">
      <alignment vertical="center" wrapText="1"/>
    </xf>
    <xf numFmtId="3" fontId="5" fillId="0" borderId="5" xfId="0" applyNumberFormat="1" applyFont="1" applyBorder="1" applyAlignment="1">
      <alignment vertical="center" wrapText="1"/>
    </xf>
    <xf numFmtId="165" fontId="5" fillId="0" borderId="5" xfId="1" applyNumberFormat="1" applyFont="1" applyBorder="1" applyAlignment="1">
      <alignment horizontal="center" vertical="center" wrapText="1"/>
    </xf>
    <xf numFmtId="0" fontId="2" fillId="2" borderId="5" xfId="0" applyFont="1" applyFill="1" applyBorder="1" applyAlignment="1">
      <alignment vertical="center"/>
    </xf>
    <xf numFmtId="3" fontId="2" fillId="2" borderId="5" xfId="0" applyNumberFormat="1" applyFont="1" applyFill="1" applyBorder="1" applyAlignment="1">
      <alignment vertical="center"/>
    </xf>
    <xf numFmtId="165" fontId="2" fillId="2" borderId="5" xfId="1" applyNumberFormat="1" applyFont="1" applyFill="1" applyBorder="1" applyAlignment="1">
      <alignment horizontal="center" vertical="center"/>
    </xf>
    <xf numFmtId="3" fontId="5" fillId="0" borderId="14" xfId="0" applyNumberFormat="1" applyFont="1" applyBorder="1" applyAlignment="1">
      <alignment horizontal="right" vertical="center"/>
    </xf>
    <xf numFmtId="165" fontId="5" fillId="0" borderId="7" xfId="1" applyNumberFormat="1" applyFont="1" applyBorder="1" applyAlignment="1">
      <alignment horizontal="center"/>
    </xf>
    <xf numFmtId="3" fontId="28" fillId="0" borderId="18" xfId="0" applyNumberFormat="1" applyFont="1" applyBorder="1" applyAlignment="1">
      <alignment horizontal="right" vertical="center"/>
    </xf>
    <xf numFmtId="3" fontId="28" fillId="0" borderId="19" xfId="0" applyNumberFormat="1" applyFont="1" applyBorder="1" applyAlignment="1">
      <alignment horizontal="right" vertical="center"/>
    </xf>
    <xf numFmtId="3" fontId="27" fillId="0" borderId="19" xfId="0" applyNumberFormat="1" applyFont="1" applyBorder="1" applyAlignment="1">
      <alignment horizontal="right" vertical="center"/>
    </xf>
    <xf numFmtId="0" fontId="0" fillId="7" borderId="0" xfId="0" applyFill="1"/>
    <xf numFmtId="0" fontId="30" fillId="8" borderId="20" xfId="0" applyFont="1" applyFill="1" applyBorder="1" applyAlignment="1">
      <alignment horizontal="right" vertical="center" wrapText="1"/>
    </xf>
    <xf numFmtId="3" fontId="30" fillId="8" borderId="20" xfId="0" applyNumberFormat="1" applyFont="1" applyFill="1" applyBorder="1" applyAlignment="1">
      <alignment horizontal="right" vertical="center" wrapText="1"/>
    </xf>
    <xf numFmtId="0" fontId="29" fillId="8" borderId="20" xfId="7" applyFill="1" applyBorder="1" applyAlignment="1">
      <alignment horizontal="right" vertical="center" wrapText="1"/>
    </xf>
    <xf numFmtId="0" fontId="30" fillId="8" borderId="20" xfId="0" applyFont="1" applyFill="1" applyBorder="1" applyAlignment="1">
      <alignment vertical="center" wrapText="1"/>
    </xf>
    <xf numFmtId="0" fontId="0" fillId="7" borderId="21" xfId="0" applyFill="1" applyBorder="1"/>
    <xf numFmtId="0" fontId="0" fillId="7" borderId="22" xfId="0" applyFill="1" applyBorder="1"/>
    <xf numFmtId="0" fontId="30" fillId="8" borderId="23" xfId="0" applyFont="1" applyFill="1" applyBorder="1" applyAlignment="1">
      <alignment horizontal="right" vertical="center" wrapText="1"/>
    </xf>
    <xf numFmtId="0" fontId="30" fillId="8" borderId="23" xfId="0" applyFont="1" applyFill="1" applyBorder="1" applyAlignment="1">
      <alignment vertical="center" wrapText="1"/>
    </xf>
    <xf numFmtId="3" fontId="30" fillId="0" borderId="0" xfId="0" applyNumberFormat="1" applyFont="1"/>
    <xf numFmtId="164" fontId="30" fillId="0" borderId="0" xfId="5" applyFont="1"/>
    <xf numFmtId="164" fontId="0" fillId="7" borderId="0" xfId="5" applyFont="1" applyFill="1"/>
    <xf numFmtId="164" fontId="30" fillId="8" borderId="20" xfId="5" applyFont="1" applyFill="1" applyBorder="1" applyAlignment="1">
      <alignment horizontal="right" vertical="center" wrapText="1"/>
    </xf>
    <xf numFmtId="3" fontId="31" fillId="0" borderId="0" xfId="0" applyNumberFormat="1" applyFont="1"/>
    <xf numFmtId="49" fontId="2" fillId="0" borderId="0" xfId="0" applyNumberFormat="1" applyFont="1"/>
    <xf numFmtId="49" fontId="4" fillId="0" borderId="1" xfId="0" applyNumberFormat="1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3" fontId="4" fillId="0" borderId="5" xfId="0" applyNumberFormat="1" applyFont="1" applyBorder="1"/>
    <xf numFmtId="49" fontId="6" fillId="0" borderId="1" xfId="0" applyNumberFormat="1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3" fontId="6" fillId="0" borderId="5" xfId="0" applyNumberFormat="1" applyFont="1" applyBorder="1"/>
    <xf numFmtId="0" fontId="3" fillId="0" borderId="0" xfId="0" applyFont="1"/>
    <xf numFmtId="0" fontId="5" fillId="0" borderId="1" xfId="0" applyFont="1" applyBorder="1" applyAlignment="1">
      <alignment horizontal="left" vertical="center" wrapText="1"/>
    </xf>
    <xf numFmtId="49" fontId="4" fillId="0" borderId="5" xfId="0" applyNumberFormat="1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center" wrapText="1"/>
    </xf>
    <xf numFmtId="3" fontId="4" fillId="2" borderId="5" xfId="0" applyNumberFormat="1" applyFont="1" applyFill="1" applyBorder="1"/>
    <xf numFmtId="49" fontId="5" fillId="0" borderId="4" xfId="0" applyNumberFormat="1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3" fontId="5" fillId="0" borderId="3" xfId="0" applyNumberFormat="1" applyFont="1" applyBorder="1"/>
    <xf numFmtId="165" fontId="5" fillId="0" borderId="3" xfId="1" applyNumberFormat="1" applyFont="1" applyBorder="1" applyAlignment="1">
      <alignment horizontal="center"/>
    </xf>
    <xf numFmtId="3" fontId="28" fillId="0" borderId="0" xfId="0" applyNumberFormat="1" applyFont="1"/>
    <xf numFmtId="166" fontId="5" fillId="0" borderId="2" xfId="2" applyNumberFormat="1" applyFont="1" applyBorder="1"/>
    <xf numFmtId="166" fontId="5" fillId="0" borderId="9" xfId="2" applyNumberFormat="1" applyFont="1" applyBorder="1"/>
    <xf numFmtId="166" fontId="5" fillId="0" borderId="24" xfId="2" applyNumberFormat="1" applyFont="1" applyBorder="1"/>
    <xf numFmtId="3" fontId="4" fillId="0" borderId="14" xfId="0" applyNumberFormat="1" applyFont="1" applyBorder="1" applyAlignment="1">
      <alignment horizontal="right" vertical="center"/>
    </xf>
    <xf numFmtId="165" fontId="4" fillId="0" borderId="5" xfId="1" applyNumberFormat="1" applyFont="1" applyFill="1" applyBorder="1" applyAlignment="1">
      <alignment horizontal="center"/>
    </xf>
    <xf numFmtId="0" fontId="2" fillId="0" borderId="0" xfId="0" applyFont="1"/>
    <xf numFmtId="0" fontId="4" fillId="0" borderId="9" xfId="0" applyFont="1" applyBorder="1" applyAlignment="1">
      <alignment vertical="center"/>
    </xf>
    <xf numFmtId="3" fontId="4" fillId="0" borderId="11" xfId="0" applyNumberFormat="1" applyFont="1" applyBorder="1" applyAlignment="1">
      <alignment horizontal="right" vertical="center"/>
    </xf>
    <xf numFmtId="3" fontId="4" fillId="0" borderId="7" xfId="0" applyNumberFormat="1" applyFont="1" applyBorder="1" applyAlignment="1">
      <alignment horizontal="right" vertical="center"/>
    </xf>
    <xf numFmtId="49" fontId="6" fillId="0" borderId="2" xfId="0" applyNumberFormat="1" applyFont="1" applyBorder="1" applyAlignment="1">
      <alignment horizontal="left" vertical="center"/>
    </xf>
    <xf numFmtId="0" fontId="6" fillId="0" borderId="5" xfId="0" applyFont="1" applyBorder="1" applyAlignment="1">
      <alignment vertical="center"/>
    </xf>
    <xf numFmtId="3" fontId="6" fillId="0" borderId="7" xfId="0" applyNumberFormat="1" applyFont="1" applyBorder="1" applyAlignment="1">
      <alignment horizontal="right" vertical="center"/>
    </xf>
    <xf numFmtId="49" fontId="5" fillId="0" borderId="2" xfId="0" applyNumberFormat="1" applyFont="1" applyBorder="1" applyAlignment="1">
      <alignment horizontal="left" vertical="center"/>
    </xf>
    <xf numFmtId="49" fontId="4" fillId="0" borderId="2" xfId="0" applyNumberFormat="1" applyFont="1" applyBorder="1" applyAlignment="1">
      <alignment horizontal="left" vertical="center"/>
    </xf>
    <xf numFmtId="49" fontId="4" fillId="2" borderId="1" xfId="0" applyNumberFormat="1" applyFont="1" applyFill="1" applyBorder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1" fillId="0" borderId="0" xfId="3"/>
    <xf numFmtId="49" fontId="1" fillId="0" borderId="0" xfId="3" applyNumberFormat="1"/>
    <xf numFmtId="3" fontId="1" fillId="0" borderId="0" xfId="3" applyNumberFormat="1"/>
    <xf numFmtId="49" fontId="2" fillId="0" borderId="0" xfId="3" applyNumberFormat="1" applyFont="1"/>
    <xf numFmtId="49" fontId="4" fillId="2" borderId="1" xfId="3" applyNumberFormat="1" applyFont="1" applyFill="1" applyBorder="1" applyAlignment="1">
      <alignment horizontal="left" vertical="center" wrapText="1"/>
    </xf>
    <xf numFmtId="0" fontId="4" fillId="2" borderId="1" xfId="3" applyFont="1" applyFill="1" applyBorder="1" applyAlignment="1">
      <alignment horizontal="center" vertical="center" wrapText="1"/>
    </xf>
    <xf numFmtId="0" fontId="4" fillId="2" borderId="2" xfId="3" applyFont="1" applyFill="1" applyBorder="1" applyAlignment="1">
      <alignment horizontal="center" vertical="center" wrapText="1"/>
    </xf>
    <xf numFmtId="0" fontId="4" fillId="2" borderId="3" xfId="3" applyFont="1" applyFill="1" applyBorder="1" applyAlignment="1">
      <alignment horizontal="center" vertical="center" wrapText="1"/>
    </xf>
    <xf numFmtId="49" fontId="4" fillId="0" borderId="1" xfId="3" applyNumberFormat="1" applyFont="1" applyBorder="1" applyAlignment="1">
      <alignment horizontal="left" vertical="center"/>
    </xf>
    <xf numFmtId="0" fontId="4" fillId="0" borderId="1" xfId="3" applyFont="1" applyBorder="1" applyAlignment="1">
      <alignment vertical="center"/>
    </xf>
    <xf numFmtId="3" fontId="4" fillId="0" borderId="4" xfId="3" applyNumberFormat="1" applyFont="1" applyBorder="1" applyAlignment="1">
      <alignment horizontal="right" vertical="center"/>
    </xf>
    <xf numFmtId="165" fontId="4" fillId="0" borderId="5" xfId="4" applyNumberFormat="1" applyFont="1" applyBorder="1" applyAlignment="1">
      <alignment horizontal="center"/>
    </xf>
    <xf numFmtId="3" fontId="5" fillId="0" borderId="5" xfId="3" applyNumberFormat="1" applyFont="1" applyBorder="1"/>
    <xf numFmtId="165" fontId="5" fillId="0" borderId="5" xfId="4" applyNumberFormat="1" applyFont="1" applyBorder="1" applyAlignment="1">
      <alignment horizontal="center"/>
    </xf>
    <xf numFmtId="3" fontId="32" fillId="0" borderId="5" xfId="3" applyNumberFormat="1" applyFont="1" applyBorder="1"/>
    <xf numFmtId="0" fontId="4" fillId="0" borderId="2" xfId="3" applyFont="1" applyBorder="1" applyAlignment="1">
      <alignment vertical="center"/>
    </xf>
    <xf numFmtId="3" fontId="9" fillId="0" borderId="4" xfId="3" applyNumberFormat="1" applyFont="1" applyBorder="1" applyAlignment="1">
      <alignment horizontal="right" vertical="center"/>
    </xf>
    <xf numFmtId="49" fontId="6" fillId="0" borderId="1" xfId="3" applyNumberFormat="1" applyFont="1" applyBorder="1" applyAlignment="1">
      <alignment horizontal="left" vertical="center"/>
    </xf>
    <xf numFmtId="0" fontId="6" fillId="0" borderId="2" xfId="3" applyFont="1" applyBorder="1" applyAlignment="1">
      <alignment vertical="center"/>
    </xf>
    <xf numFmtId="3" fontId="33" fillId="0" borderId="5" xfId="3" applyNumberFormat="1" applyFont="1" applyBorder="1" applyAlignment="1">
      <alignment horizontal="right" vertical="center"/>
    </xf>
    <xf numFmtId="3" fontId="6" fillId="0" borderId="5" xfId="3" applyNumberFormat="1" applyFont="1" applyBorder="1" applyAlignment="1">
      <alignment horizontal="right" vertical="center"/>
    </xf>
    <xf numFmtId="165" fontId="6" fillId="0" borderId="5" xfId="4" applyNumberFormat="1" applyFont="1" applyBorder="1" applyAlignment="1">
      <alignment horizontal="center"/>
    </xf>
    <xf numFmtId="0" fontId="7" fillId="0" borderId="0" xfId="3" applyFont="1"/>
    <xf numFmtId="49" fontId="5" fillId="0" borderId="1" xfId="3" applyNumberFormat="1" applyFont="1" applyBorder="1" applyAlignment="1">
      <alignment horizontal="left" vertical="center"/>
    </xf>
    <xf numFmtId="0" fontId="5" fillId="0" borderId="2" xfId="3" applyFont="1" applyBorder="1" applyAlignment="1">
      <alignment vertical="center"/>
    </xf>
    <xf numFmtId="3" fontId="32" fillId="0" borderId="5" xfId="3" applyNumberFormat="1" applyFont="1" applyBorder="1" applyAlignment="1">
      <alignment horizontal="right" vertical="center"/>
    </xf>
    <xf numFmtId="3" fontId="5" fillId="0" borderId="5" xfId="3" applyNumberFormat="1" applyFont="1" applyBorder="1" applyAlignment="1">
      <alignment horizontal="right" vertical="center"/>
    </xf>
    <xf numFmtId="3" fontId="9" fillId="0" borderId="5" xfId="3" applyNumberFormat="1" applyFont="1" applyBorder="1" applyAlignment="1">
      <alignment horizontal="right" vertical="center"/>
    </xf>
    <xf numFmtId="3" fontId="4" fillId="0" borderId="5" xfId="3" applyNumberFormat="1" applyFont="1" applyBorder="1" applyAlignment="1">
      <alignment horizontal="right" vertical="center"/>
    </xf>
    <xf numFmtId="3" fontId="2" fillId="0" borderId="0" xfId="3" applyNumberFormat="1" applyFont="1"/>
    <xf numFmtId="0" fontId="2" fillId="0" borderId="0" xfId="3" applyFont="1"/>
    <xf numFmtId="0" fontId="5" fillId="0" borderId="1" xfId="3" applyFont="1" applyBorder="1" applyAlignment="1">
      <alignment vertical="center"/>
    </xf>
    <xf numFmtId="3" fontId="0" fillId="0" borderId="0" xfId="3" applyNumberFormat="1" applyFont="1"/>
    <xf numFmtId="0" fontId="0" fillId="0" borderId="0" xfId="3" applyFont="1"/>
    <xf numFmtId="49" fontId="4" fillId="0" borderId="5" xfId="3" applyNumberFormat="1" applyFont="1" applyBorder="1" applyAlignment="1">
      <alignment horizontal="left" vertical="center"/>
    </xf>
    <xf numFmtId="0" fontId="4" fillId="0" borderId="5" xfId="3" applyFont="1" applyBorder="1" applyAlignment="1">
      <alignment vertical="center"/>
    </xf>
    <xf numFmtId="49" fontId="5" fillId="0" borderId="10" xfId="3" applyNumberFormat="1" applyFont="1" applyBorder="1" applyAlignment="1">
      <alignment horizontal="left" vertical="center"/>
    </xf>
    <xf numFmtId="0" fontId="5" fillId="0" borderId="6" xfId="3" applyFont="1" applyBorder="1" applyAlignment="1">
      <alignment vertical="center"/>
    </xf>
    <xf numFmtId="0" fontId="4" fillId="0" borderId="1" xfId="3" applyFont="1" applyBorder="1" applyAlignment="1">
      <alignment horizontal="left" vertical="center"/>
    </xf>
    <xf numFmtId="49" fontId="4" fillId="0" borderId="4" xfId="3" applyNumberFormat="1" applyFont="1" applyBorder="1" applyAlignment="1">
      <alignment horizontal="left" vertical="center"/>
    </xf>
    <xf numFmtId="0" fontId="4" fillId="0" borderId="9" xfId="3" applyFont="1" applyBorder="1" applyAlignment="1">
      <alignment vertical="center"/>
    </xf>
    <xf numFmtId="3" fontId="4" fillId="0" borderId="3" xfId="3" applyNumberFormat="1" applyFont="1" applyBorder="1" applyAlignment="1">
      <alignment horizontal="right" vertical="center"/>
    </xf>
    <xf numFmtId="165" fontId="4" fillId="0" borderId="3" xfId="4" applyNumberFormat="1" applyFont="1" applyBorder="1" applyAlignment="1">
      <alignment horizontal="center"/>
    </xf>
    <xf numFmtId="49" fontId="3" fillId="0" borderId="5" xfId="3" applyNumberFormat="1" applyFont="1" applyBorder="1"/>
    <xf numFmtId="3" fontId="3" fillId="0" borderId="0" xfId="3" applyNumberFormat="1" applyFont="1"/>
    <xf numFmtId="0" fontId="3" fillId="0" borderId="0" xfId="3" applyFont="1"/>
    <xf numFmtId="49" fontId="5" fillId="0" borderId="5" xfId="3" applyNumberFormat="1" applyFont="1" applyBorder="1" applyAlignment="1">
      <alignment horizontal="left" vertical="center"/>
    </xf>
    <xf numFmtId="0" fontId="5" fillId="0" borderId="5" xfId="3" applyFont="1" applyBorder="1" applyAlignment="1">
      <alignment vertical="center"/>
    </xf>
    <xf numFmtId="49" fontId="4" fillId="2" borderId="1" xfId="3" applyNumberFormat="1" applyFont="1" applyFill="1" applyBorder="1" applyAlignment="1">
      <alignment horizontal="left" vertical="center"/>
    </xf>
    <xf numFmtId="0" fontId="4" fillId="2" borderId="2" xfId="3" applyFont="1" applyFill="1" applyBorder="1" applyAlignment="1">
      <alignment vertical="center"/>
    </xf>
    <xf numFmtId="3" fontId="4" fillId="2" borderId="5" xfId="3" applyNumberFormat="1" applyFont="1" applyFill="1" applyBorder="1" applyAlignment="1">
      <alignment horizontal="right" vertical="center"/>
    </xf>
    <xf numFmtId="165" fontId="4" fillId="2" borderId="5" xfId="4" applyNumberFormat="1" applyFont="1" applyFill="1" applyBorder="1" applyAlignment="1">
      <alignment horizontal="center"/>
    </xf>
    <xf numFmtId="49" fontId="8" fillId="0" borderId="0" xfId="3" applyNumberFormat="1" applyFont="1"/>
    <xf numFmtId="0" fontId="5" fillId="0" borderId="0" xfId="3" applyFont="1"/>
    <xf numFmtId="49" fontId="5" fillId="0" borderId="0" xfId="3" applyNumberFormat="1" applyFont="1"/>
    <xf numFmtId="164" fontId="1" fillId="0" borderId="0" xfId="5"/>
    <xf numFmtId="3" fontId="27" fillId="0" borderId="5" xfId="3" applyNumberFormat="1" applyFont="1" applyBorder="1"/>
    <xf numFmtId="49" fontId="10" fillId="0" borderId="0" xfId="3" applyNumberFormat="1" applyFont="1"/>
    <xf numFmtId="0" fontId="9" fillId="0" borderId="11" xfId="3" applyFont="1" applyBorder="1" applyAlignment="1">
      <alignment vertical="center"/>
    </xf>
    <xf numFmtId="3" fontId="9" fillId="0" borderId="7" xfId="3" applyNumberFormat="1" applyFont="1" applyBorder="1" applyAlignment="1">
      <alignment horizontal="right" vertical="center"/>
    </xf>
    <xf numFmtId="164" fontId="1" fillId="0" borderId="0" xfId="3" applyNumberFormat="1"/>
    <xf numFmtId="0" fontId="1" fillId="0" borderId="0" xfId="3" applyAlignment="1">
      <alignment horizontal="center"/>
    </xf>
    <xf numFmtId="0" fontId="4" fillId="2" borderId="8" xfId="3" applyFont="1" applyFill="1" applyBorder="1" applyAlignment="1">
      <alignment horizontal="center" vertical="center" wrapText="1"/>
    </xf>
    <xf numFmtId="165" fontId="4" fillId="0" borderId="4" xfId="4" applyNumberFormat="1" applyFont="1" applyBorder="1" applyAlignment="1">
      <alignment horizontal="center" vertical="center"/>
    </xf>
    <xf numFmtId="49" fontId="4" fillId="0" borderId="2" xfId="3" applyNumberFormat="1" applyFont="1" applyBorder="1" applyAlignment="1">
      <alignment horizontal="left" vertical="center"/>
    </xf>
    <xf numFmtId="165" fontId="4" fillId="0" borderId="5" xfId="4" applyNumberFormat="1" applyFont="1" applyBorder="1" applyAlignment="1">
      <alignment horizontal="center" vertical="center"/>
    </xf>
    <xf numFmtId="3" fontId="5" fillId="0" borderId="7" xfId="3" applyNumberFormat="1" applyFont="1" applyBorder="1" applyAlignment="1">
      <alignment horizontal="right" vertical="center"/>
    </xf>
    <xf numFmtId="165" fontId="5" fillId="0" borderId="7" xfId="4" applyNumberFormat="1" applyFont="1" applyBorder="1" applyAlignment="1">
      <alignment horizontal="center" vertical="center"/>
    </xf>
    <xf numFmtId="165" fontId="5" fillId="0" borderId="5" xfId="4" applyNumberFormat="1" applyFont="1" applyBorder="1" applyAlignment="1">
      <alignment horizontal="center" vertical="center"/>
    </xf>
    <xf numFmtId="3" fontId="5" fillId="0" borderId="3" xfId="3" applyNumberFormat="1" applyFont="1" applyBorder="1" applyAlignment="1">
      <alignment horizontal="right" vertical="center"/>
    </xf>
    <xf numFmtId="165" fontId="5" fillId="0" borderId="3" xfId="4" applyNumberFormat="1" applyFont="1" applyBorder="1" applyAlignment="1">
      <alignment horizontal="center" vertical="center"/>
    </xf>
    <xf numFmtId="165" fontId="4" fillId="2" borderId="5" xfId="4" applyNumberFormat="1" applyFont="1" applyFill="1" applyBorder="1" applyAlignment="1">
      <alignment horizontal="center" vertical="center"/>
    </xf>
    <xf numFmtId="3" fontId="5" fillId="0" borderId="4" xfId="3" applyNumberFormat="1" applyFont="1" applyBorder="1" applyAlignment="1">
      <alignment horizontal="right" vertical="center"/>
    </xf>
    <xf numFmtId="3" fontId="6" fillId="0" borderId="4" xfId="3" applyNumberFormat="1" applyFont="1" applyBorder="1" applyAlignment="1">
      <alignment horizontal="right" vertical="center"/>
    </xf>
    <xf numFmtId="165" fontId="6" fillId="0" borderId="4" xfId="4" applyNumberFormat="1" applyFont="1" applyBorder="1" applyAlignment="1">
      <alignment horizontal="center" vertical="center"/>
    </xf>
    <xf numFmtId="0" fontId="8" fillId="0" borderId="0" xfId="3" applyFont="1"/>
    <xf numFmtId="3" fontId="5" fillId="0" borderId="0" xfId="3" applyNumberFormat="1" applyFont="1"/>
    <xf numFmtId="49" fontId="5" fillId="0" borderId="4" xfId="3" applyNumberFormat="1" applyFont="1" applyBorder="1" applyAlignment="1">
      <alignment horizontal="left" vertical="center"/>
    </xf>
    <xf numFmtId="0" fontId="5" fillId="0" borderId="9" xfId="3" applyFont="1" applyBorder="1" applyAlignment="1">
      <alignment vertical="center"/>
    </xf>
    <xf numFmtId="0" fontId="8" fillId="0" borderId="5" xfId="0" applyFont="1" applyBorder="1"/>
    <xf numFmtId="165" fontId="2" fillId="0" borderId="5" xfId="1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9" fontId="0" fillId="0" borderId="12" xfId="0" applyNumberFormat="1" applyBorder="1" applyAlignment="1">
      <alignment horizontal="left"/>
    </xf>
    <xf numFmtId="0" fontId="4" fillId="2" borderId="2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0" fontId="2" fillId="0" borderId="0" xfId="3" applyFont="1" applyAlignment="1">
      <alignment horizontal="center"/>
    </xf>
    <xf numFmtId="0" fontId="3" fillId="0" borderId="0" xfId="3" applyFont="1" applyAlignment="1">
      <alignment horizont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25" fillId="3" borderId="4" xfId="0" applyFont="1" applyFill="1" applyBorder="1" applyAlignment="1">
      <alignment horizontal="center" vertical="center" wrapText="1" readingOrder="1"/>
    </xf>
    <xf numFmtId="0" fontId="25" fillId="3" borderId="10" xfId="0" applyFont="1" applyFill="1" applyBorder="1" applyAlignment="1">
      <alignment horizontal="center" vertical="center" wrapText="1" readingOrder="1"/>
    </xf>
    <xf numFmtId="0" fontId="25" fillId="3" borderId="2" xfId="0" applyFont="1" applyFill="1" applyBorder="1" applyAlignment="1">
      <alignment horizontal="center" vertical="center" wrapText="1" readingOrder="1"/>
    </xf>
    <xf numFmtId="0" fontId="25" fillId="3" borderId="17" xfId="0" applyFont="1" applyFill="1" applyBorder="1" applyAlignment="1">
      <alignment horizontal="center" vertical="center" wrapText="1" readingOrder="1"/>
    </xf>
    <xf numFmtId="0" fontId="25" fillId="3" borderId="8" xfId="0" applyFont="1" applyFill="1" applyBorder="1" applyAlignment="1">
      <alignment horizontal="center" vertical="center" wrapText="1" readingOrder="1"/>
    </xf>
    <xf numFmtId="0" fontId="12" fillId="3" borderId="9" xfId="0" applyFont="1" applyFill="1" applyBorder="1" applyAlignment="1">
      <alignment horizontal="center" vertical="center" wrapText="1" readingOrder="1"/>
    </xf>
    <xf numFmtId="0" fontId="12" fillId="3" borderId="12" xfId="0" applyFont="1" applyFill="1" applyBorder="1" applyAlignment="1">
      <alignment horizontal="center" vertical="center" wrapText="1" readingOrder="1"/>
    </xf>
    <xf numFmtId="0" fontId="12" fillId="3" borderId="15" xfId="0" applyFont="1" applyFill="1" applyBorder="1" applyAlignment="1">
      <alignment horizontal="center" vertical="center" wrapText="1" readingOrder="1"/>
    </xf>
    <xf numFmtId="0" fontId="12" fillId="3" borderId="6" xfId="0" applyFont="1" applyFill="1" applyBorder="1" applyAlignment="1">
      <alignment horizontal="center" vertical="center" wrapText="1" readingOrder="1"/>
    </xf>
    <xf numFmtId="0" fontId="12" fillId="3" borderId="13" xfId="0" applyFont="1" applyFill="1" applyBorder="1" applyAlignment="1">
      <alignment horizontal="center" vertical="center" wrapText="1" readingOrder="1"/>
    </xf>
    <xf numFmtId="0" fontId="12" fillId="3" borderId="16" xfId="0" applyFont="1" applyFill="1" applyBorder="1" applyAlignment="1">
      <alignment horizontal="center" vertical="center" wrapText="1" readingOrder="1"/>
    </xf>
    <xf numFmtId="0" fontId="12" fillId="3" borderId="4" xfId="0" applyFont="1" applyFill="1" applyBorder="1" applyAlignment="1">
      <alignment horizontal="center" vertical="center" wrapText="1" readingOrder="1"/>
    </xf>
    <xf numFmtId="0" fontId="12" fillId="3" borderId="10" xfId="0" applyFont="1" applyFill="1" applyBorder="1" applyAlignment="1">
      <alignment horizontal="center" vertical="center" wrapText="1" readingOrder="1"/>
    </xf>
    <xf numFmtId="0" fontId="12" fillId="3" borderId="2" xfId="0" applyFont="1" applyFill="1" applyBorder="1" applyAlignment="1">
      <alignment horizontal="center" vertical="center" wrapText="1" readingOrder="1"/>
    </xf>
    <xf numFmtId="0" fontId="12" fillId="3" borderId="8" xfId="0" applyFont="1" applyFill="1" applyBorder="1" applyAlignment="1">
      <alignment horizontal="center" vertical="center" wrapText="1" readingOrder="1"/>
    </xf>
    <xf numFmtId="0" fontId="12" fillId="3" borderId="14" xfId="0" applyFont="1" applyFill="1" applyBorder="1" applyAlignment="1">
      <alignment horizontal="center" vertical="center" wrapText="1" readingOrder="1"/>
    </xf>
    <xf numFmtId="0" fontId="23" fillId="3" borderId="4" xfId="0" applyFont="1" applyFill="1" applyBorder="1" applyAlignment="1">
      <alignment horizontal="center" vertical="center" wrapText="1" readingOrder="1"/>
    </xf>
    <xf numFmtId="0" fontId="23" fillId="3" borderId="10" xfId="0" applyFont="1" applyFill="1" applyBorder="1" applyAlignment="1">
      <alignment horizontal="center" vertical="center" wrapText="1" readingOrder="1"/>
    </xf>
    <xf numFmtId="0" fontId="22" fillId="3" borderId="4" xfId="0" applyFont="1" applyFill="1" applyBorder="1" applyAlignment="1">
      <alignment horizontal="center" vertical="center" wrapText="1" readingOrder="1"/>
    </xf>
    <xf numFmtId="0" fontId="22" fillId="3" borderId="14" xfId="0" applyFont="1" applyFill="1" applyBorder="1" applyAlignment="1">
      <alignment horizontal="center" vertical="center" wrapText="1" readingOrder="1"/>
    </xf>
    <xf numFmtId="0" fontId="22" fillId="3" borderId="10" xfId="0" applyFont="1" applyFill="1" applyBorder="1" applyAlignment="1">
      <alignment horizontal="center" vertical="center" wrapText="1" readingOrder="1"/>
    </xf>
    <xf numFmtId="0" fontId="22" fillId="3" borderId="9" xfId="0" applyFont="1" applyFill="1" applyBorder="1" applyAlignment="1">
      <alignment horizontal="center" vertical="center" wrapText="1" readingOrder="1"/>
    </xf>
    <xf numFmtId="0" fontId="22" fillId="3" borderId="12" xfId="0" applyFont="1" applyFill="1" applyBorder="1" applyAlignment="1">
      <alignment horizontal="center" vertical="center" wrapText="1" readingOrder="1"/>
    </xf>
    <xf numFmtId="0" fontId="22" fillId="3" borderId="15" xfId="0" applyFont="1" applyFill="1" applyBorder="1" applyAlignment="1">
      <alignment horizontal="center" vertical="center" wrapText="1" readingOrder="1"/>
    </xf>
    <xf numFmtId="0" fontId="22" fillId="3" borderId="6" xfId="0" applyFont="1" applyFill="1" applyBorder="1" applyAlignment="1">
      <alignment horizontal="center" vertical="center" wrapText="1" readingOrder="1"/>
    </xf>
    <xf numFmtId="0" fontId="22" fillId="3" borderId="13" xfId="0" applyFont="1" applyFill="1" applyBorder="1" applyAlignment="1">
      <alignment horizontal="center" vertical="center" wrapText="1" readingOrder="1"/>
    </xf>
    <xf numFmtId="0" fontId="22" fillId="3" borderId="16" xfId="0" applyFont="1" applyFill="1" applyBorder="1" applyAlignment="1">
      <alignment horizontal="center" vertical="center" wrapText="1" readingOrder="1"/>
    </xf>
  </cellXfs>
  <cellStyles count="17">
    <cellStyle name="Hipervínculo" xfId="7" builtinId="8"/>
    <cellStyle name="Hyperlink" xfId="9" xr:uid="{00000000-0005-0000-0000-000001000000}"/>
    <cellStyle name="Millares [0]" xfId="5" builtinId="6"/>
    <cellStyle name="Millares [0] 2" xfId="10" xr:uid="{00000000-0005-0000-0000-000003000000}"/>
    <cellStyle name="Millares [0] 3" xfId="8" xr:uid="{00000000-0005-0000-0000-000004000000}"/>
    <cellStyle name="Millares [0] 4" xfId="14" xr:uid="{00000000-0005-0000-0000-000005000000}"/>
    <cellStyle name="Millares 2" xfId="12" xr:uid="{00000000-0005-0000-0000-000006000000}"/>
    <cellStyle name="Millares 3" xfId="11" xr:uid="{00000000-0005-0000-0000-000007000000}"/>
    <cellStyle name="Millares 4" xfId="15" xr:uid="{00000000-0005-0000-0000-000008000000}"/>
    <cellStyle name="Millares 5" xfId="16" xr:uid="{00000000-0005-0000-0000-000009000000}"/>
    <cellStyle name="Normal" xfId="0" builtinId="0"/>
    <cellStyle name="Normal 2" xfId="3" xr:uid="{00000000-0005-0000-0000-00000B000000}"/>
    <cellStyle name="Normal 2 2" xfId="13" xr:uid="{00000000-0005-0000-0000-00000C000000}"/>
    <cellStyle name="Normal 3" xfId="2" xr:uid="{00000000-0005-0000-0000-00000D000000}"/>
    <cellStyle name="Normal 3 2 5" xfId="6" xr:uid="{00000000-0005-0000-0000-00000E000000}"/>
    <cellStyle name="Porcentaje" xfId="1" builtinId="5"/>
    <cellStyle name="Porcentaje 2" xfId="4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activeX1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3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1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1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1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2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2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7618983633871708E-2"/>
          <c:y val="3.6778537914743864E-2"/>
          <c:w val="0.91127229403491794"/>
          <c:h val="0.8135954501681355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'[3]Gráficos 2023'!$J$63:$J$71</c:f>
              <c:strCache>
                <c:ptCount val="9"/>
                <c:pt idx="0">
                  <c:v>21 Gastos en Personal</c:v>
                </c:pt>
                <c:pt idx="1">
                  <c:v>22 Bs y Ss de Consumo</c:v>
                </c:pt>
                <c:pt idx="2">
                  <c:v>23 Prestaciones Seguridad Social</c:v>
                </c:pt>
                <c:pt idx="3">
                  <c:v>24 Transferencias Corrientes</c:v>
                </c:pt>
                <c:pt idx="4">
                  <c:v>25 Integros al Fisco</c:v>
                </c:pt>
                <c:pt idx="5">
                  <c:v>29 Adquisición de Activos No Financieros</c:v>
                </c:pt>
                <c:pt idx="6">
                  <c:v>31 Iniciativas de Inversión</c:v>
                </c:pt>
                <c:pt idx="7">
                  <c:v>33 Transferencias de Capital</c:v>
                </c:pt>
                <c:pt idx="8">
                  <c:v>34 Servicio de la Deuda</c:v>
                </c:pt>
              </c:strCache>
            </c:strRef>
          </c:cat>
          <c:val>
            <c:numRef>
              <c:f>'Cuadros Diapo'!$F$8:$F$17</c:f>
            </c:numRef>
          </c:val>
          <c:extLst>
            <c:ext xmlns:c16="http://schemas.microsoft.com/office/drawing/2014/chart" uri="{C3380CC4-5D6E-409C-BE32-E72D297353CC}">
              <c16:uniqueId val="{00000000-2A6B-4E74-A1C2-AF610ECEBC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axId val="314654104"/>
        <c:axId val="316633000"/>
      </c:barChart>
      <c:catAx>
        <c:axId val="3146541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900"/>
            </a:pPr>
            <a:endParaRPr lang="es-CL"/>
          </a:p>
        </c:txPr>
        <c:crossAx val="316633000"/>
        <c:crosses val="autoZero"/>
        <c:auto val="1"/>
        <c:lblAlgn val="ctr"/>
        <c:lblOffset val="100"/>
        <c:noMultiLvlLbl val="0"/>
      </c:catAx>
      <c:valAx>
        <c:axId val="316633000"/>
        <c:scaling>
          <c:orientation val="minMax"/>
          <c:max val="1"/>
          <c:min val="0"/>
        </c:scaling>
        <c:delete val="0"/>
        <c:axPos val="l"/>
        <c:numFmt formatCode="0%" sourceLinked="0"/>
        <c:majorTickMark val="out"/>
        <c:minorTickMark val="none"/>
        <c:tickLblPos val="nextTo"/>
        <c:crossAx val="31465410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Hoja1!$C$2</c:f>
              <c:strCache>
                <c:ptCount val="1"/>
                <c:pt idx="0">
                  <c:v>PRESUPUESTO VIGENTE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'[3]Gráficos 2023'!$A$22</c:f>
              <c:strCache>
                <c:ptCount val="1"/>
                <c:pt idx="0">
                  <c:v>P02 Fondos Culturales y Artísticos</c:v>
                </c:pt>
              </c:strCache>
            </c:strRef>
          </c:cat>
          <c:val>
            <c:numRef>
              <c:f>Hoja1!$C$4</c:f>
              <c:numCache>
                <c:formatCode>#,##0</c:formatCode>
                <c:ptCount val="1"/>
                <c:pt idx="0">
                  <c:v>53396.803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92-4FC1-843A-03863DAADBFB}"/>
            </c:ext>
          </c:extLst>
        </c:ser>
        <c:ser>
          <c:idx val="1"/>
          <c:order val="1"/>
          <c:tx>
            <c:strRef>
              <c:f>Hoja1!$D$2</c:f>
              <c:strCache>
                <c:ptCount val="1"/>
                <c:pt idx="0">
                  <c:v>EJECUCIÓN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'[3]Gráficos 2023'!$A$22</c:f>
              <c:strCache>
                <c:ptCount val="1"/>
                <c:pt idx="0">
                  <c:v>P02 Fondos Culturales y Artísticos</c:v>
                </c:pt>
              </c:strCache>
            </c:strRef>
          </c:cat>
          <c:val>
            <c:numRef>
              <c:f>Hoja1!$D$4</c:f>
              <c:numCache>
                <c:formatCode>#,##0</c:formatCode>
                <c:ptCount val="1"/>
                <c:pt idx="0">
                  <c:v>52103.531733999997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A92-4FC1-843A-03863DAADB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60838264"/>
        <c:axId val="360836696"/>
      </c:barChart>
      <c:catAx>
        <c:axId val="3608382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s-CL"/>
          </a:p>
        </c:txPr>
        <c:crossAx val="360836696"/>
        <c:crosses val="autoZero"/>
        <c:auto val="1"/>
        <c:lblAlgn val="ctr"/>
        <c:lblOffset val="100"/>
        <c:noMultiLvlLbl val="0"/>
      </c:catAx>
      <c:valAx>
        <c:axId val="360836696"/>
        <c:scaling>
          <c:orientation val="minMax"/>
          <c:min val="0"/>
        </c:scaling>
        <c:delete val="0"/>
        <c:axPos val="l"/>
        <c:numFmt formatCode="#,##0" sourceLinked="1"/>
        <c:majorTickMark val="out"/>
        <c:minorTickMark val="none"/>
        <c:tickLblPos val="nextTo"/>
        <c:crossAx val="36083826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Hoja1!$B$52</c:f>
              <c:strCache>
                <c:ptCount val="1"/>
                <c:pt idx="0">
                  <c:v>2022</c:v>
                </c:pt>
              </c:strCache>
            </c:strRef>
          </c:tx>
          <c:invertIfNegative val="0"/>
          <c:cat>
            <c:strLit>
              <c:ptCount val="1"/>
              <c:pt idx="0">
                <c:v>Ejecución Subsecretaría de las Culturas y las Artes</c:v>
              </c:pt>
            </c:strLit>
          </c:cat>
          <c:val>
            <c:numRef>
              <c:f>Hoja1!$E$56</c:f>
              <c:numCache>
                <c:formatCode>0.00%</c:formatCode>
                <c:ptCount val="1"/>
                <c:pt idx="0">
                  <c:v>0.6305621584370209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B5B-4FBC-8058-11A4A5144D66}"/>
            </c:ext>
          </c:extLst>
        </c:ser>
        <c:ser>
          <c:idx val="1"/>
          <c:order val="1"/>
          <c:tx>
            <c:strRef>
              <c:f>Hoja1!$B$59</c:f>
              <c:strCache>
                <c:ptCount val="1"/>
                <c:pt idx="0">
                  <c:v>2023</c:v>
                </c:pt>
              </c:strCache>
            </c:strRef>
          </c:tx>
          <c:invertIfNegative val="0"/>
          <c:cat>
            <c:strLit>
              <c:ptCount val="1"/>
              <c:pt idx="0">
                <c:v>Ejecución Subsecretaría de las Culturas y las Artes</c:v>
              </c:pt>
            </c:strLit>
          </c:cat>
          <c:val>
            <c:numRef>
              <c:f>Hoja1!$E$62</c:f>
              <c:numCache>
                <c:formatCode>0.0%</c:formatCode>
                <c:ptCount val="1"/>
                <c:pt idx="0">
                  <c:v>0.62689423288375146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B5B-4FBC-8058-11A4A5144D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6"/>
        <c:axId val="360837480"/>
        <c:axId val="360839048"/>
      </c:barChart>
      <c:catAx>
        <c:axId val="3608374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crossAx val="360839048"/>
        <c:crosses val="autoZero"/>
        <c:auto val="1"/>
        <c:lblAlgn val="ctr"/>
        <c:lblOffset val="100"/>
        <c:noMultiLvlLbl val="0"/>
      </c:catAx>
      <c:valAx>
        <c:axId val="360839048"/>
        <c:scaling>
          <c:orientation val="minMax"/>
          <c:max val="1"/>
          <c:min val="0"/>
        </c:scaling>
        <c:delete val="0"/>
        <c:axPos val="l"/>
        <c:numFmt formatCode="0%" sourceLinked="0"/>
        <c:majorTickMark val="out"/>
        <c:minorTickMark val="none"/>
        <c:tickLblPos val="nextTo"/>
        <c:crossAx val="36083748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txPr>
    <a:bodyPr/>
    <a:lstStyle/>
    <a:p>
      <a:pPr>
        <a:defRPr b="1"/>
      </a:pPr>
      <a:endParaRPr lang="es-CL"/>
    </a:p>
  </c:txPr>
  <c:printSettings>
    <c:headerFooter/>
    <c:pageMargins b="0.75" l="0.7" r="0.7" t="0.75" header="0.3" footer="0.3"/>
    <c:pageSetup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Hoja1!$B$52</c:f>
              <c:strCache>
                <c:ptCount val="1"/>
                <c:pt idx="0">
                  <c:v>2022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Hoja1!$B$168:$B$169</c:f>
              <c:strCache>
                <c:ptCount val="2"/>
                <c:pt idx="0">
                  <c:v>P01 Subsecretaría de las Culturas y las Artes</c:v>
                </c:pt>
                <c:pt idx="1">
                  <c:v>P02 Fondos Culturales y Artísticos</c:v>
                </c:pt>
              </c:strCache>
            </c:strRef>
          </c:cat>
          <c:val>
            <c:numRef>
              <c:f>(Hoja1!$E$53,Hoja1!$E$54)</c:f>
              <c:numCache>
                <c:formatCode>0.00%</c:formatCode>
                <c:ptCount val="2"/>
                <c:pt idx="0">
                  <c:v>0.56762524023114458</c:v>
                </c:pt>
                <c:pt idx="1">
                  <c:v>0.6956106619072463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49-439D-B723-2B5883F7FF3D}"/>
            </c:ext>
          </c:extLst>
        </c:ser>
        <c:ser>
          <c:idx val="1"/>
          <c:order val="1"/>
          <c:tx>
            <c:strRef>
              <c:f>Hoja1!$B$59</c:f>
              <c:strCache>
                <c:ptCount val="1"/>
                <c:pt idx="0">
                  <c:v>2023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Hoja1!$B$168:$B$169</c:f>
              <c:strCache>
                <c:ptCount val="2"/>
                <c:pt idx="0">
                  <c:v>P01 Subsecretaría de las Culturas y las Artes</c:v>
                </c:pt>
                <c:pt idx="1">
                  <c:v>P02 Fondos Culturales y Artísticos</c:v>
                </c:pt>
              </c:strCache>
            </c:strRef>
          </c:cat>
          <c:val>
            <c:numRef>
              <c:f>(Hoja1!$E$60,Hoja1!$E$61)</c:f>
              <c:numCache>
                <c:formatCode>0.0%</c:formatCode>
                <c:ptCount val="2"/>
                <c:pt idx="0">
                  <c:v>0.57190852841631479</c:v>
                </c:pt>
                <c:pt idx="1">
                  <c:v>0.76480183797801504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C49-439D-B723-2B5883F7FF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1"/>
        <c:axId val="314503256"/>
        <c:axId val="314503648"/>
      </c:barChart>
      <c:catAx>
        <c:axId val="31450325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314503648"/>
        <c:crosses val="autoZero"/>
        <c:auto val="1"/>
        <c:lblAlgn val="ctr"/>
        <c:lblOffset val="100"/>
        <c:noMultiLvlLbl val="0"/>
      </c:catAx>
      <c:valAx>
        <c:axId val="314503648"/>
        <c:scaling>
          <c:orientation val="minMax"/>
          <c:max val="1"/>
          <c:min val="0"/>
        </c:scaling>
        <c:delete val="0"/>
        <c:axPos val="l"/>
        <c:numFmt formatCode="0%" sourceLinked="0"/>
        <c:majorTickMark val="out"/>
        <c:minorTickMark val="none"/>
        <c:tickLblPos val="nextTo"/>
        <c:crossAx val="31450325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'[4]gráficos comparados 2023'!$B$36</c:f>
              <c:strCache>
                <c:ptCount val="1"/>
                <c:pt idx="0">
                  <c:v>#¡REF!</c:v>
                </c:pt>
              </c:strCache>
            </c:strRef>
          </c:tx>
          <c:invertIfNegative val="0"/>
          <c:dLbls>
            <c:dLbl>
              <c:idx val="1"/>
              <c:layout>
                <c:manualLayout>
                  <c:x val="-1.002883091470045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E29-4989-A4DD-27E79FE4FEBC}"/>
                </c:ext>
              </c:extLst>
            </c:dLbl>
            <c:dLbl>
              <c:idx val="2"/>
              <c:layout>
                <c:manualLayout>
                  <c:x val="-1.2034597097640539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E29-4989-A4DD-27E79FE4FEBC}"/>
                </c:ext>
              </c:extLst>
            </c:dLbl>
            <c:numFmt formatCode="#,#0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'[4]gráficos comparados 2023'!$A$37:$A$41</c:f>
              <c:strCache>
                <c:ptCount val="4"/>
                <c:pt idx="0">
                  <c:v>21 Gastos en Personal</c:v>
                </c:pt>
                <c:pt idx="1">
                  <c:v>22 Bs y Ss de Consumo</c:v>
                </c:pt>
                <c:pt idx="2">
                  <c:v>24 Transferencias Corrientes</c:v>
                </c:pt>
                <c:pt idx="3">
                  <c:v>29 Adquisición de Activos No Financieros</c:v>
                </c:pt>
              </c:strCache>
            </c:strRef>
          </c:cat>
          <c:val>
            <c:numRef>
              <c:f>'[4]gráficos comparados 2023'!$B$37:$B$41</c:f>
              <c:numCache>
                <c:formatCode>#,#00%</c:formatCode>
                <c:ptCount val="4"/>
                <c:pt idx="0">
                  <c:v>0.49486867770348841</c:v>
                </c:pt>
                <c:pt idx="1">
                  <c:v>0.28079420636172947</c:v>
                </c:pt>
                <c:pt idx="2">
                  <c:v>0.3363853156990112</c:v>
                </c:pt>
                <c:pt idx="3">
                  <c:v>0.17424022450585192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E29-4989-A4DD-27E79FE4FEBC}"/>
            </c:ext>
          </c:extLst>
        </c:ser>
        <c:ser>
          <c:idx val="1"/>
          <c:order val="1"/>
          <c:tx>
            <c:strRef>
              <c:f>'[4]gráficos comparados 2023'!$C$36</c:f>
              <c:strCache>
                <c:ptCount val="1"/>
                <c:pt idx="0">
                  <c:v>#¡REF!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8.0230647317603605E-3"/>
                  <c:y val="3.96235822089492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E29-4989-A4DD-27E79FE4FEBC}"/>
                </c:ext>
              </c:extLst>
            </c:dLbl>
            <c:dLbl>
              <c:idx val="1"/>
              <c:layout>
                <c:manualLayout>
                  <c:x val="6.0172985488202331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E29-4989-A4DD-27E79FE4FEBC}"/>
                </c:ext>
              </c:extLst>
            </c:dLbl>
            <c:dLbl>
              <c:idx val="3"/>
              <c:layout>
                <c:manualLayout>
                  <c:x val="1.0028830914700523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E29-4989-A4DD-27E79FE4FEBC}"/>
                </c:ext>
              </c:extLst>
            </c:dLbl>
            <c:numFmt formatCode="#,#0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'[4]gráficos comparados 2023'!$A$37:$A$41</c:f>
              <c:strCache>
                <c:ptCount val="4"/>
                <c:pt idx="0">
                  <c:v>21 Gastos en Personal</c:v>
                </c:pt>
                <c:pt idx="1">
                  <c:v>22 Bs y Ss de Consumo</c:v>
                </c:pt>
                <c:pt idx="2">
                  <c:v>24 Transferencias Corrientes</c:v>
                </c:pt>
                <c:pt idx="3">
                  <c:v>29 Adquisición de Activos No Financieros</c:v>
                </c:pt>
              </c:strCache>
            </c:strRef>
          </c:cat>
          <c:val>
            <c:numRef>
              <c:f>'[4]gráficos comparados 2023'!$C$37:$C$41</c:f>
              <c:numCache>
                <c:formatCode>#,#00%</c:formatCode>
                <c:ptCount val="4"/>
                <c:pt idx="0">
                  <c:v>0.4389369228152924</c:v>
                </c:pt>
                <c:pt idx="1">
                  <c:v>0.31551232121277795</c:v>
                </c:pt>
                <c:pt idx="2">
                  <c:v>0.34912427683407188</c:v>
                </c:pt>
                <c:pt idx="3">
                  <c:v>0.18299161003881317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E29-4989-A4DD-27E79FE4FE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axId val="361070464"/>
        <c:axId val="361072816"/>
      </c:barChart>
      <c:catAx>
        <c:axId val="3610704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s-CL"/>
          </a:p>
        </c:txPr>
        <c:crossAx val="361072816"/>
        <c:crosses val="autoZero"/>
        <c:auto val="1"/>
        <c:lblAlgn val="ctr"/>
        <c:lblOffset val="100"/>
        <c:noMultiLvlLbl val="0"/>
      </c:catAx>
      <c:valAx>
        <c:axId val="361072816"/>
        <c:scaling>
          <c:orientation val="minMax"/>
          <c:max val="1"/>
          <c:min val="0"/>
        </c:scaling>
        <c:delete val="0"/>
        <c:axPos val="l"/>
        <c:numFmt formatCode="0%" sourceLinked="0"/>
        <c:majorTickMark val="out"/>
        <c:minorTickMark val="none"/>
        <c:tickLblPos val="nextTo"/>
        <c:crossAx val="361070464"/>
        <c:crosses val="autoZero"/>
        <c:crossBetween val="between"/>
        <c:minorUnit val="2.0000000000000004E-2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Hoja1!$B$52</c:f>
              <c:strCache>
                <c:ptCount val="1"/>
                <c:pt idx="0">
                  <c:v>2022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Hoja1!$B$150</c:f>
              <c:strCache>
                <c:ptCount val="1"/>
                <c:pt idx="0">
                  <c:v>Ejecución Ministerio de las Culturas, las Artes y el Patrimonio</c:v>
                </c:pt>
              </c:strCache>
            </c:strRef>
          </c:cat>
          <c:val>
            <c:numRef>
              <c:f>Hoja1!$I$164</c:f>
              <c:numCache>
                <c:formatCode>0.0%</c:formatCode>
                <c:ptCount val="1"/>
                <c:pt idx="0">
                  <c:v>0.61884006921267121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971-429C-85AA-2108F122C3E8}"/>
            </c:ext>
          </c:extLst>
        </c:ser>
        <c:ser>
          <c:idx val="1"/>
          <c:order val="1"/>
          <c:tx>
            <c:strRef>
              <c:f>Hoja1!$B$59</c:f>
              <c:strCache>
                <c:ptCount val="1"/>
                <c:pt idx="0">
                  <c:v>2023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Hoja1!$B$150</c:f>
              <c:strCache>
                <c:ptCount val="1"/>
                <c:pt idx="0">
                  <c:v>Ejecución Ministerio de las Culturas, las Artes y el Patrimonio</c:v>
                </c:pt>
              </c:strCache>
            </c:strRef>
          </c:cat>
          <c:val>
            <c:numRef>
              <c:f>Hoja1!$I$177</c:f>
              <c:numCache>
                <c:formatCode>0.0%</c:formatCode>
                <c:ptCount val="1"/>
                <c:pt idx="0">
                  <c:v>0.58135799054505244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971-429C-85AA-2108F122C3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6"/>
        <c:axId val="361066936"/>
        <c:axId val="361068112"/>
      </c:barChart>
      <c:catAx>
        <c:axId val="36106693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crossAx val="361068112"/>
        <c:crosses val="autoZero"/>
        <c:auto val="1"/>
        <c:lblAlgn val="ctr"/>
        <c:lblOffset val="100"/>
        <c:noMultiLvlLbl val="0"/>
      </c:catAx>
      <c:valAx>
        <c:axId val="361068112"/>
        <c:scaling>
          <c:orientation val="minMax"/>
          <c:max val="1"/>
          <c:min val="0"/>
        </c:scaling>
        <c:delete val="0"/>
        <c:axPos val="l"/>
        <c:numFmt formatCode="0%" sourceLinked="0"/>
        <c:majorTickMark val="out"/>
        <c:minorTickMark val="none"/>
        <c:tickLblPos val="nextTo"/>
        <c:crossAx val="36106693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txPr>
    <a:bodyPr/>
    <a:lstStyle/>
    <a:p>
      <a:pPr>
        <a:defRPr b="1"/>
      </a:pPr>
      <a:endParaRPr lang="es-CL"/>
    </a:p>
  </c:txPr>
  <c:printSettings>
    <c:headerFooter/>
    <c:pageMargins b="0.75" l="0.7" r="0.7" t="0.75" header="0.3" footer="0.3"/>
    <c:pageSetup/>
  </c:printSettings>
  <c:userShapes r:id="rId1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Hoja1!$B$52</c:f>
              <c:strCache>
                <c:ptCount val="1"/>
                <c:pt idx="0">
                  <c:v>2022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Hoja1!$B$205</c:f>
              <c:strCache>
                <c:ptCount val="1"/>
                <c:pt idx="0">
                  <c:v>Ejecución Subsecretaría del Patrimonio Cultural</c:v>
                </c:pt>
              </c:strCache>
            </c:strRef>
          </c:cat>
          <c:val>
            <c:numRef>
              <c:f>Hoja1!$I$156</c:f>
              <c:numCache>
                <c:formatCode>0.0%</c:formatCode>
                <c:ptCount val="1"/>
                <c:pt idx="0">
                  <c:v>0.60683279580334859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17-41CA-8A9C-D737D2FABBAC}"/>
            </c:ext>
          </c:extLst>
        </c:ser>
        <c:ser>
          <c:idx val="1"/>
          <c:order val="1"/>
          <c:tx>
            <c:strRef>
              <c:f>Hoja1!$B$59</c:f>
              <c:strCache>
                <c:ptCount val="1"/>
                <c:pt idx="0">
                  <c:v>2023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Hoja1!$B$205</c:f>
              <c:strCache>
                <c:ptCount val="1"/>
                <c:pt idx="0">
                  <c:v>Ejecución Subsecretaría del Patrimonio Cultural</c:v>
                </c:pt>
              </c:strCache>
            </c:strRef>
          </c:cat>
          <c:val>
            <c:numRef>
              <c:f>Hoja1!$I$170</c:f>
              <c:numCache>
                <c:formatCode>0.0%</c:formatCode>
                <c:ptCount val="1"/>
                <c:pt idx="0">
                  <c:v>0.6618700790485218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E17-41CA-8A9C-D737D2FABB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6"/>
        <c:axId val="361073992"/>
        <c:axId val="361070072"/>
      </c:barChart>
      <c:catAx>
        <c:axId val="3610739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crossAx val="361070072"/>
        <c:crosses val="autoZero"/>
        <c:auto val="1"/>
        <c:lblAlgn val="ctr"/>
        <c:lblOffset val="100"/>
        <c:noMultiLvlLbl val="0"/>
      </c:catAx>
      <c:valAx>
        <c:axId val="361070072"/>
        <c:scaling>
          <c:orientation val="minMax"/>
          <c:max val="1"/>
          <c:min val="0"/>
        </c:scaling>
        <c:delete val="0"/>
        <c:axPos val="l"/>
        <c:numFmt formatCode="0%" sourceLinked="0"/>
        <c:majorTickMark val="out"/>
        <c:minorTickMark val="none"/>
        <c:tickLblPos val="nextTo"/>
        <c:crossAx val="36107399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txPr>
    <a:bodyPr/>
    <a:lstStyle/>
    <a:p>
      <a:pPr>
        <a:defRPr b="1"/>
      </a:pPr>
      <a:endParaRPr lang="es-CL"/>
    </a:p>
  </c:txPr>
  <c:printSettings>
    <c:headerFooter/>
    <c:pageMargins b="0.75" l="0.7" r="0.7" t="0.75" header="0.3" footer="0.3"/>
    <c:pageSetup/>
  </c:printSettings>
  <c:userShapes r:id="rId1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Hoja1!$B$52</c:f>
              <c:strCache>
                <c:ptCount val="1"/>
                <c:pt idx="0">
                  <c:v>2022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Hoja1!$B$173:$B$176</c:f>
              <c:strCache>
                <c:ptCount val="4"/>
                <c:pt idx="0">
                  <c:v>P01 Servicio Nacional del Patrimonio Cultural</c:v>
                </c:pt>
                <c:pt idx="1">
                  <c:v>P02 Red de Bibliotecas Públicas</c:v>
                </c:pt>
                <c:pt idx="2">
                  <c:v>P03 Consejo de Monumentos Nacionales</c:v>
                </c:pt>
                <c:pt idx="3">
                  <c:v>P04 Museos Nacionales</c:v>
                </c:pt>
              </c:strCache>
            </c:strRef>
          </c:cat>
          <c:val>
            <c:numRef>
              <c:f>Hoja1!$I$159:$I$162</c:f>
              <c:numCache>
                <c:formatCode>0.0%</c:formatCode>
                <c:ptCount val="4"/>
                <c:pt idx="0">
                  <c:v>0.64615241353844965</c:v>
                </c:pt>
                <c:pt idx="1">
                  <c:v>0.6831943662270703</c:v>
                </c:pt>
                <c:pt idx="2">
                  <c:v>0.60792755502402884</c:v>
                </c:pt>
                <c:pt idx="3">
                  <c:v>0.5374611670420808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C34-467D-B250-05D7D1465D21}"/>
            </c:ext>
          </c:extLst>
        </c:ser>
        <c:ser>
          <c:idx val="1"/>
          <c:order val="1"/>
          <c:tx>
            <c:strRef>
              <c:f>Hoja1!$B$59</c:f>
              <c:strCache>
                <c:ptCount val="1"/>
                <c:pt idx="0">
                  <c:v>2023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Hoja1!$B$173:$B$176</c:f>
              <c:strCache>
                <c:ptCount val="4"/>
                <c:pt idx="0">
                  <c:v>P01 Servicio Nacional del Patrimonio Cultural</c:v>
                </c:pt>
                <c:pt idx="1">
                  <c:v>P02 Red de Bibliotecas Públicas</c:v>
                </c:pt>
                <c:pt idx="2">
                  <c:v>P03 Consejo de Monumentos Nacionales</c:v>
                </c:pt>
                <c:pt idx="3">
                  <c:v>P04 Museos Nacionales</c:v>
                </c:pt>
              </c:strCache>
            </c:strRef>
          </c:cat>
          <c:val>
            <c:numRef>
              <c:f>Hoja1!$I$173:$I$176</c:f>
              <c:numCache>
                <c:formatCode>0.0%</c:formatCode>
                <c:ptCount val="4"/>
                <c:pt idx="0">
                  <c:v>0.47723071110514731</c:v>
                </c:pt>
                <c:pt idx="1">
                  <c:v>0.70891415195007235</c:v>
                </c:pt>
                <c:pt idx="2">
                  <c:v>0.58901034559947762</c:v>
                </c:pt>
                <c:pt idx="3">
                  <c:v>0.55613686723215483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C34-467D-B250-05D7D1465D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1"/>
        <c:axId val="361067328"/>
        <c:axId val="361071248"/>
      </c:barChart>
      <c:catAx>
        <c:axId val="36106732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361071248"/>
        <c:crosses val="autoZero"/>
        <c:auto val="1"/>
        <c:lblAlgn val="ctr"/>
        <c:lblOffset val="100"/>
        <c:noMultiLvlLbl val="0"/>
      </c:catAx>
      <c:valAx>
        <c:axId val="361071248"/>
        <c:scaling>
          <c:orientation val="minMax"/>
          <c:max val="1"/>
          <c:min val="0"/>
        </c:scaling>
        <c:delete val="0"/>
        <c:axPos val="l"/>
        <c:numFmt formatCode="0%" sourceLinked="0"/>
        <c:majorTickMark val="out"/>
        <c:minorTickMark val="none"/>
        <c:tickLblPos val="nextTo"/>
        <c:crossAx val="36106732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Hoja1!$B$52</c:f>
              <c:strCache>
                <c:ptCount val="1"/>
                <c:pt idx="0">
                  <c:v>2022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Hoja1!$B$208</c:f>
              <c:strCache>
                <c:ptCount val="1"/>
                <c:pt idx="0">
                  <c:v>Ejecución Servicio Nacional del Patrimonio Cultural</c:v>
                </c:pt>
              </c:strCache>
            </c:strRef>
          </c:cat>
          <c:val>
            <c:numRef>
              <c:f>Hoja1!$I$158</c:f>
              <c:numCache>
                <c:formatCode>0.0%</c:formatCode>
                <c:ptCount val="1"/>
                <c:pt idx="0">
                  <c:v>0.59655001083555192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42-40F0-A1E7-49BC6A8BC149}"/>
            </c:ext>
          </c:extLst>
        </c:ser>
        <c:ser>
          <c:idx val="1"/>
          <c:order val="1"/>
          <c:tx>
            <c:strRef>
              <c:f>Hoja1!$B$59</c:f>
              <c:strCache>
                <c:ptCount val="1"/>
                <c:pt idx="0">
                  <c:v>2023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Hoja1!$B$208</c:f>
              <c:strCache>
                <c:ptCount val="1"/>
                <c:pt idx="0">
                  <c:v>Ejecución Servicio Nacional del Patrimonio Cultural</c:v>
                </c:pt>
              </c:strCache>
            </c:strRef>
          </c:cat>
          <c:val>
            <c:numRef>
              <c:f>Hoja1!$I$172</c:f>
              <c:numCache>
                <c:formatCode>0.0%</c:formatCode>
                <c:ptCount val="1"/>
                <c:pt idx="0">
                  <c:v>0.50548327881411004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542-40F0-A1E7-49BC6A8BC1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6"/>
        <c:axId val="361073208"/>
        <c:axId val="361066544"/>
      </c:barChart>
      <c:catAx>
        <c:axId val="36107320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crossAx val="361066544"/>
        <c:crosses val="autoZero"/>
        <c:auto val="1"/>
        <c:lblAlgn val="ctr"/>
        <c:lblOffset val="100"/>
        <c:noMultiLvlLbl val="0"/>
      </c:catAx>
      <c:valAx>
        <c:axId val="361066544"/>
        <c:scaling>
          <c:orientation val="minMax"/>
          <c:max val="1"/>
          <c:min val="0"/>
        </c:scaling>
        <c:delete val="0"/>
        <c:axPos val="l"/>
        <c:numFmt formatCode="0%" sourceLinked="0"/>
        <c:majorTickMark val="out"/>
        <c:minorTickMark val="none"/>
        <c:tickLblPos val="nextTo"/>
        <c:crossAx val="36107320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txPr>
    <a:bodyPr/>
    <a:lstStyle/>
    <a:p>
      <a:pPr>
        <a:defRPr b="1"/>
      </a:pPr>
      <a:endParaRPr lang="es-CL"/>
    </a:p>
  </c:txPr>
  <c:printSettings>
    <c:headerFooter/>
    <c:pageMargins b="0.75" l="0.7" r="0.7" t="0.75" header="0.3" footer="0.3"/>
    <c:pageSetup/>
  </c:printSettings>
  <c:userShapes r:id="rId1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525240594925633"/>
          <c:y val="4.214129483814523E-2"/>
          <c:w val="0.60633136482939631"/>
          <c:h val="0.83261956838728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Hoja1!$C$2</c:f>
              <c:strCache>
                <c:ptCount val="1"/>
                <c:pt idx="0">
                  <c:v>PRESUPUESTO VIGENTE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Hoja1!$B$177</c:f>
              <c:strCache>
                <c:ptCount val="1"/>
                <c:pt idx="0">
                  <c:v>TOTAL MINISTERIO</c:v>
                </c:pt>
              </c:strCache>
            </c:strRef>
          </c:cat>
          <c:val>
            <c:numRef>
              <c:f>Hoja1!$C$202</c:f>
              <c:numCache>
                <c:formatCode>#,##0</c:formatCode>
                <c:ptCount val="1"/>
                <c:pt idx="0">
                  <c:v>307014.31493799994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034-488C-9067-EA0E34CF8B9C}"/>
            </c:ext>
          </c:extLst>
        </c:ser>
        <c:ser>
          <c:idx val="1"/>
          <c:order val="1"/>
          <c:tx>
            <c:strRef>
              <c:f>Hoja1!$D$2</c:f>
              <c:strCache>
                <c:ptCount val="1"/>
                <c:pt idx="0">
                  <c:v>EJECUCIÓN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Hoja1!$B$177</c:f>
              <c:strCache>
                <c:ptCount val="1"/>
                <c:pt idx="0">
                  <c:v>TOTAL MINISTERIO</c:v>
                </c:pt>
              </c:strCache>
            </c:strRef>
          </c:cat>
          <c:val>
            <c:numRef>
              <c:f>Hoja1!$D$202</c:f>
              <c:numCache>
                <c:formatCode>#,##0</c:formatCode>
                <c:ptCount val="1"/>
                <c:pt idx="0">
                  <c:v>164453.70174300001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034-488C-9067-EA0E34CF8B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61072424"/>
        <c:axId val="361067720"/>
      </c:barChart>
      <c:catAx>
        <c:axId val="36107242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000" b="1"/>
            </a:pPr>
            <a:endParaRPr lang="es-CL"/>
          </a:p>
        </c:txPr>
        <c:crossAx val="361067720"/>
        <c:crosses val="autoZero"/>
        <c:auto val="1"/>
        <c:lblAlgn val="ctr"/>
        <c:lblOffset val="100"/>
        <c:noMultiLvlLbl val="0"/>
      </c:catAx>
      <c:valAx>
        <c:axId val="361067720"/>
        <c:scaling>
          <c:orientation val="minMax"/>
          <c:min val="0"/>
        </c:scaling>
        <c:delete val="0"/>
        <c:axPos val="l"/>
        <c:numFmt formatCode="#,##0" sourceLinked="1"/>
        <c:majorTickMark val="out"/>
        <c:minorTickMark val="none"/>
        <c:tickLblPos val="nextTo"/>
        <c:crossAx val="361072424"/>
        <c:crosses val="autoZero"/>
        <c:crossBetween val="between"/>
        <c:majorUnit val="20000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525240594925633"/>
          <c:y val="4.214129483814523E-2"/>
          <c:w val="0.60633136482939631"/>
          <c:h val="0.83261956838728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Hoja1!$C$2</c:f>
              <c:strCache>
                <c:ptCount val="1"/>
                <c:pt idx="0">
                  <c:v>PRESUPUESTO VIGENTE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'[3]Gráficos 2023'!$A$5</c:f>
              <c:strCache>
                <c:ptCount val="1"/>
                <c:pt idx="0">
                  <c:v>TOTAL SUBSECRETARÍA DE LAS CULTURAS Y LAS ARTES</c:v>
                </c:pt>
              </c:strCache>
            </c:strRef>
          </c:cat>
          <c:val>
            <c:numRef>
              <c:f>Hoja1!$C$199</c:f>
              <c:numCache>
                <c:formatCode>#,##0</c:formatCode>
                <c:ptCount val="1"/>
                <c:pt idx="0">
                  <c:v>187299.20699999999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97E-402E-8E4A-9574B6B0949E}"/>
            </c:ext>
          </c:extLst>
        </c:ser>
        <c:ser>
          <c:idx val="1"/>
          <c:order val="1"/>
          <c:tx>
            <c:strRef>
              <c:f>Hoja1!$D$2</c:f>
              <c:strCache>
                <c:ptCount val="1"/>
                <c:pt idx="0">
                  <c:v>EJECUCIÓN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'[3]Gráficos 2023'!$A$5</c:f>
              <c:strCache>
                <c:ptCount val="1"/>
                <c:pt idx="0">
                  <c:v>TOTAL SUBSECRETARÍA DE LAS CULTURAS Y LAS ARTES</c:v>
                </c:pt>
              </c:strCache>
            </c:strRef>
          </c:cat>
          <c:val>
            <c:numRef>
              <c:f>Hoja1!$D$199</c:f>
              <c:numCache>
                <c:formatCode>#,##0</c:formatCode>
                <c:ptCount val="1"/>
                <c:pt idx="0">
                  <c:v>111472.26585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97E-402E-8E4A-9574B6B094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61068896"/>
        <c:axId val="361569240"/>
      </c:barChart>
      <c:catAx>
        <c:axId val="3610688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000" b="1"/>
            </a:pPr>
            <a:endParaRPr lang="es-CL"/>
          </a:p>
        </c:txPr>
        <c:crossAx val="361569240"/>
        <c:crosses val="autoZero"/>
        <c:auto val="1"/>
        <c:lblAlgn val="ctr"/>
        <c:lblOffset val="100"/>
        <c:noMultiLvlLbl val="0"/>
      </c:catAx>
      <c:valAx>
        <c:axId val="361569240"/>
        <c:scaling>
          <c:orientation val="minMax"/>
          <c:min val="0"/>
        </c:scaling>
        <c:delete val="0"/>
        <c:axPos val="l"/>
        <c:numFmt formatCode="#,##0" sourceLinked="1"/>
        <c:majorTickMark val="out"/>
        <c:minorTickMark val="none"/>
        <c:tickLblPos val="nextTo"/>
        <c:crossAx val="361068896"/>
        <c:crosses val="autoZero"/>
        <c:crossBetween val="between"/>
        <c:majorUnit val="20000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'[3]Gráficos 2023'!$B$58:$B$66</c:f>
              <c:strCache>
                <c:ptCount val="9"/>
                <c:pt idx="0">
                  <c:v>Fundación Artesanías De Chile</c:v>
                </c:pt>
                <c:pt idx="1">
                  <c:v>Fundación Tiempos Nuevos</c:v>
                </c:pt>
                <c:pt idx="2">
                  <c:v>Corporación Cultural Municipalidad De Santiago</c:v>
                </c:pt>
                <c:pt idx="3">
                  <c:v>Orquestas Sinfónicas Juveniles E Infantiles De Chile</c:v>
                </c:pt>
                <c:pt idx="4">
                  <c:v>Centro Cultural Palacios De La Moneda</c:v>
                </c:pt>
                <c:pt idx="5">
                  <c:v>Corporación Centro Cultural Gabriela Mistral</c:v>
                </c:pt>
                <c:pt idx="6">
                  <c:v>Otras Instituciones Colaboradoras</c:v>
                </c:pt>
                <c:pt idx="7">
                  <c:v>Parque Cultural Valparaíso</c:v>
                </c:pt>
                <c:pt idx="8">
                  <c:v>Programa de Orquestas Regionales Profesionales</c:v>
                </c:pt>
              </c:strCache>
            </c:strRef>
          </c:cat>
          <c:val>
            <c:numRef>
              <c:f>'01-01'!$J$42:$J$50</c:f>
              <c:numCache>
                <c:formatCode>0.0%</c:formatCode>
                <c:ptCount val="9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0.99999833926492543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35-47A3-8622-04199EE7C3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axId val="128556560"/>
        <c:axId val="316425472"/>
      </c:barChart>
      <c:catAx>
        <c:axId val="1285565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316425472"/>
        <c:crosses val="autoZero"/>
        <c:auto val="1"/>
        <c:lblAlgn val="ctr"/>
        <c:lblOffset val="100"/>
        <c:noMultiLvlLbl val="0"/>
      </c:catAx>
      <c:valAx>
        <c:axId val="316425472"/>
        <c:scaling>
          <c:orientation val="minMax"/>
          <c:max val="1"/>
          <c:min val="0"/>
        </c:scaling>
        <c:delete val="0"/>
        <c:axPos val="l"/>
        <c:numFmt formatCode="0%" sourceLinked="0"/>
        <c:majorTickMark val="none"/>
        <c:minorTickMark val="none"/>
        <c:tickLblPos val="nextTo"/>
        <c:spPr>
          <a:noFill/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285565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525240594925633"/>
          <c:y val="4.214129483814523E-2"/>
          <c:w val="0.60633136482939631"/>
          <c:h val="0.83261956838728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Hoja1!$C$2</c:f>
              <c:strCache>
                <c:ptCount val="1"/>
                <c:pt idx="0">
                  <c:v>PRESUPUESTO VIGENTE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Hoja1!$B$200</c:f>
              <c:strCache>
                <c:ptCount val="1"/>
                <c:pt idx="0">
                  <c:v>TOTAL SUBSECRETARÍA DEL PATRIMONIO</c:v>
                </c:pt>
              </c:strCache>
            </c:strRef>
          </c:cat>
          <c:val>
            <c:numRef>
              <c:f>Hoja1!$C$200</c:f>
              <c:numCache>
                <c:formatCode>#,##0</c:formatCode>
                <c:ptCount val="1"/>
                <c:pt idx="0">
                  <c:v>3038.64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840-4635-9CAB-919565A816DC}"/>
            </c:ext>
          </c:extLst>
        </c:ser>
        <c:ser>
          <c:idx val="1"/>
          <c:order val="1"/>
          <c:tx>
            <c:strRef>
              <c:f>Hoja1!$D$2</c:f>
              <c:strCache>
                <c:ptCount val="1"/>
                <c:pt idx="0">
                  <c:v>EJECUCIÓN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Hoja1!$B$200</c:f>
              <c:strCache>
                <c:ptCount val="1"/>
                <c:pt idx="0">
                  <c:v>TOTAL SUBSECRETARÍA DEL PATRIMONIO</c:v>
                </c:pt>
              </c:strCache>
            </c:strRef>
          </c:cat>
          <c:val>
            <c:numRef>
              <c:f>Hoja1!$D$200</c:f>
              <c:numCache>
                <c:formatCode>#,##0</c:formatCode>
                <c:ptCount val="1"/>
                <c:pt idx="0">
                  <c:v>1806.1780870000002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840-4635-9CAB-919565A816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61568456"/>
        <c:axId val="361564928"/>
      </c:barChart>
      <c:catAx>
        <c:axId val="36156845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000" b="1"/>
            </a:pPr>
            <a:endParaRPr lang="es-CL"/>
          </a:p>
        </c:txPr>
        <c:crossAx val="361564928"/>
        <c:crosses val="autoZero"/>
        <c:auto val="1"/>
        <c:lblAlgn val="ctr"/>
        <c:lblOffset val="100"/>
        <c:noMultiLvlLbl val="0"/>
      </c:catAx>
      <c:valAx>
        <c:axId val="361564928"/>
        <c:scaling>
          <c:orientation val="minMax"/>
          <c:max val="4000"/>
          <c:min val="0"/>
        </c:scaling>
        <c:delete val="0"/>
        <c:axPos val="l"/>
        <c:numFmt formatCode="#,##0" sourceLinked="1"/>
        <c:majorTickMark val="out"/>
        <c:minorTickMark val="none"/>
        <c:tickLblPos val="nextTo"/>
        <c:crossAx val="361568456"/>
        <c:crosses val="autoZero"/>
        <c:crossBetween val="between"/>
        <c:majorUnit val="1000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525240594925633"/>
          <c:y val="4.214129483814523E-2"/>
          <c:w val="0.60633136482939631"/>
          <c:h val="0.83261956838728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Hoja1!$C$2</c:f>
              <c:strCache>
                <c:ptCount val="1"/>
                <c:pt idx="0">
                  <c:v>PRESUPUESTO VIGENTE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Hoja1!$B$201</c:f>
              <c:strCache>
                <c:ptCount val="1"/>
                <c:pt idx="0">
                  <c:v>TOTAL SERVICIO NACIONAL DEL PATRIMONIO</c:v>
                </c:pt>
              </c:strCache>
            </c:strRef>
          </c:cat>
          <c:val>
            <c:numRef>
              <c:f>Hoja1!$C$201</c:f>
              <c:numCache>
                <c:formatCode>#,##0</c:formatCode>
                <c:ptCount val="1"/>
                <c:pt idx="0">
                  <c:v>116676.46793799999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A03-46E8-9919-819418BFDE24}"/>
            </c:ext>
          </c:extLst>
        </c:ser>
        <c:ser>
          <c:idx val="1"/>
          <c:order val="1"/>
          <c:tx>
            <c:strRef>
              <c:f>Hoja1!$D$2</c:f>
              <c:strCache>
                <c:ptCount val="1"/>
                <c:pt idx="0">
                  <c:v>EJECUCIÓN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Hoja1!$B$201</c:f>
              <c:strCache>
                <c:ptCount val="1"/>
                <c:pt idx="0">
                  <c:v>TOTAL SERVICIO NACIONAL DEL PATRIMONIO</c:v>
                </c:pt>
              </c:strCache>
            </c:strRef>
          </c:cat>
          <c:val>
            <c:numRef>
              <c:f>Hoja1!$D$201</c:f>
              <c:numCache>
                <c:formatCode>#,##0</c:formatCode>
                <c:ptCount val="1"/>
                <c:pt idx="0">
                  <c:v>51175.257805999994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A03-46E8-9919-819418BFDE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61572376"/>
        <c:axId val="361570416"/>
      </c:barChart>
      <c:catAx>
        <c:axId val="3615723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000" b="1"/>
            </a:pPr>
            <a:endParaRPr lang="es-CL"/>
          </a:p>
        </c:txPr>
        <c:crossAx val="361570416"/>
        <c:crosses val="autoZero"/>
        <c:auto val="1"/>
        <c:lblAlgn val="ctr"/>
        <c:lblOffset val="100"/>
        <c:noMultiLvlLbl val="0"/>
      </c:catAx>
      <c:valAx>
        <c:axId val="361570416"/>
        <c:scaling>
          <c:orientation val="minMax"/>
          <c:max val="120000"/>
          <c:min val="0"/>
        </c:scaling>
        <c:delete val="0"/>
        <c:axPos val="l"/>
        <c:numFmt formatCode="#,##0" sourceLinked="1"/>
        <c:majorTickMark val="out"/>
        <c:minorTickMark val="none"/>
        <c:tickLblPos val="nextTo"/>
        <c:crossAx val="361572376"/>
        <c:crosses val="autoZero"/>
        <c:crossBetween val="between"/>
        <c:majorUnit val="20000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Hoja2!$B$7</c:f>
              <c:strCache>
                <c:ptCount val="1"/>
                <c:pt idx="0">
                  <c:v>2022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'[4]gráficos comparados 2023'!$A$37:$A$41</c:f>
              <c:strCache>
                <c:ptCount val="4"/>
                <c:pt idx="0">
                  <c:v>21 Gastos en Personal</c:v>
                </c:pt>
                <c:pt idx="1">
                  <c:v>22 Bs y Ss de Consumo</c:v>
                </c:pt>
                <c:pt idx="2">
                  <c:v>24 Transferencias Corrientes</c:v>
                </c:pt>
                <c:pt idx="3">
                  <c:v>29 Adquisición de Activos No Financieros</c:v>
                </c:pt>
              </c:strCache>
            </c:strRef>
          </c:cat>
          <c:val>
            <c:numRef>
              <c:f>Hoja2!$F$11:$F$14</c:f>
              <c:numCache>
                <c:formatCode>0.00%</c:formatCode>
                <c:ptCount val="4"/>
                <c:pt idx="0">
                  <c:v>0.62848415349568065</c:v>
                </c:pt>
                <c:pt idx="1">
                  <c:v>0.42459643228747102</c:v>
                </c:pt>
                <c:pt idx="2">
                  <c:v>0.57196938985533885</c:v>
                </c:pt>
                <c:pt idx="3">
                  <c:v>0.30885312334507609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1E2-4588-9CDC-B7E0F59DA4EB}"/>
            </c:ext>
          </c:extLst>
        </c:ser>
        <c:ser>
          <c:idx val="1"/>
          <c:order val="1"/>
          <c:tx>
            <c:strRef>
              <c:f>Hoja2!$B$16</c:f>
              <c:strCache>
                <c:ptCount val="1"/>
                <c:pt idx="0">
                  <c:v>2023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'[4]gráficos comparados 2023'!$A$37:$A$41</c:f>
              <c:strCache>
                <c:ptCount val="4"/>
                <c:pt idx="0">
                  <c:v>21 Gastos en Personal</c:v>
                </c:pt>
                <c:pt idx="1">
                  <c:v>22 Bs y Ss de Consumo</c:v>
                </c:pt>
                <c:pt idx="2">
                  <c:v>24 Transferencias Corrientes</c:v>
                </c:pt>
                <c:pt idx="3">
                  <c:v>29 Adquisición de Activos No Financieros</c:v>
                </c:pt>
              </c:strCache>
            </c:strRef>
          </c:cat>
          <c:val>
            <c:numRef>
              <c:f>Hoja2!$F$20:$F$23</c:f>
              <c:numCache>
                <c:formatCode>0.0%</c:formatCode>
                <c:ptCount val="4"/>
                <c:pt idx="0">
                  <c:v>0.55602995792438425</c:v>
                </c:pt>
                <c:pt idx="1">
                  <c:v>0.44187694103672681</c:v>
                </c:pt>
                <c:pt idx="2">
                  <c:v>0.55632858238962735</c:v>
                </c:pt>
                <c:pt idx="3">
                  <c:v>0.23667793152852709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1E2-4588-9CDC-B7E0F59DA4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axId val="361568848"/>
        <c:axId val="361566104"/>
      </c:barChart>
      <c:catAx>
        <c:axId val="36156884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s-CL"/>
          </a:p>
        </c:txPr>
        <c:crossAx val="361566104"/>
        <c:crosses val="autoZero"/>
        <c:auto val="1"/>
        <c:lblAlgn val="ctr"/>
        <c:lblOffset val="100"/>
        <c:noMultiLvlLbl val="0"/>
      </c:catAx>
      <c:valAx>
        <c:axId val="361566104"/>
        <c:scaling>
          <c:orientation val="minMax"/>
          <c:max val="1"/>
          <c:min val="0"/>
        </c:scaling>
        <c:delete val="0"/>
        <c:axPos val="l"/>
        <c:numFmt formatCode="0%" sourceLinked="0"/>
        <c:majorTickMark val="out"/>
        <c:minorTickMark val="none"/>
        <c:tickLblPos val="nextTo"/>
        <c:crossAx val="361568848"/>
        <c:crosses val="autoZero"/>
        <c:crossBetween val="between"/>
        <c:minorUnit val="2.0000000000000004E-2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Hoja2!$C$27</c:f>
              <c:strCache>
                <c:ptCount val="1"/>
                <c:pt idx="0">
                  <c:v>2022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'[4]gráficos comparados 2023'!$A$49:$A$57</c:f>
              <c:strCache>
                <c:ptCount val="9"/>
                <c:pt idx="0">
                  <c:v>081 Fundación Artesanías De Chile</c:v>
                </c:pt>
                <c:pt idx="1">
                  <c:v>181 Fundación Tiempos Nuevos</c:v>
                </c:pt>
                <c:pt idx="2">
                  <c:v>188 Corporación Cultural Municipalidad De Santiago</c:v>
                </c:pt>
                <c:pt idx="3">
                  <c:v>268 Orquestas Sinfónicas Juveniles E Infantiles De Chile</c:v>
                </c:pt>
                <c:pt idx="4">
                  <c:v>269 Centro Cultural Palacios De La Moneda</c:v>
                </c:pt>
                <c:pt idx="5">
                  <c:v>279 Corporación Centro Cultural Gabriela Mistral</c:v>
                </c:pt>
                <c:pt idx="6">
                  <c:v>290 Otras Instituciones Colaboradoras</c:v>
                </c:pt>
                <c:pt idx="7">
                  <c:v>291 Parque Cultural Valparaíso</c:v>
                </c:pt>
                <c:pt idx="8">
                  <c:v>292 Programa de Orquestas Regionales Profesionales</c:v>
                </c:pt>
              </c:strCache>
            </c:strRef>
          </c:cat>
          <c:val>
            <c:numRef>
              <c:f>Hoja2!$C$28:$C$36</c:f>
              <c:numCache>
                <c:formatCode>0.0%</c:formatCode>
                <c:ptCount val="9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0.96547648095115235</c:v>
                </c:pt>
                <c:pt idx="6">
                  <c:v>0.95179344457741</c:v>
                </c:pt>
                <c:pt idx="7">
                  <c:v>0.86900586533895274</c:v>
                </c:pt>
                <c:pt idx="8">
                  <c:v>0.99999941154628569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25-4535-AEA5-9337B5AB87BC}"/>
            </c:ext>
          </c:extLst>
        </c:ser>
        <c:ser>
          <c:idx val="1"/>
          <c:order val="1"/>
          <c:tx>
            <c:strRef>
              <c:f>Hoja2!$D$27</c:f>
              <c:strCache>
                <c:ptCount val="1"/>
                <c:pt idx="0">
                  <c:v>2023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'[4]gráficos comparados 2023'!$A$49:$A$57</c:f>
              <c:strCache>
                <c:ptCount val="9"/>
                <c:pt idx="0">
                  <c:v>081 Fundación Artesanías De Chile</c:v>
                </c:pt>
                <c:pt idx="1">
                  <c:v>181 Fundación Tiempos Nuevos</c:v>
                </c:pt>
                <c:pt idx="2">
                  <c:v>188 Corporación Cultural Municipalidad De Santiago</c:v>
                </c:pt>
                <c:pt idx="3">
                  <c:v>268 Orquestas Sinfónicas Juveniles E Infantiles De Chile</c:v>
                </c:pt>
                <c:pt idx="4">
                  <c:v>269 Centro Cultural Palacios De La Moneda</c:v>
                </c:pt>
                <c:pt idx="5">
                  <c:v>279 Corporación Centro Cultural Gabriela Mistral</c:v>
                </c:pt>
                <c:pt idx="6">
                  <c:v>290 Otras Instituciones Colaboradoras</c:v>
                </c:pt>
                <c:pt idx="7">
                  <c:v>291 Parque Cultural Valparaíso</c:v>
                </c:pt>
                <c:pt idx="8">
                  <c:v>292 Programa de Orquestas Regionales Profesionales</c:v>
                </c:pt>
              </c:strCache>
            </c:strRef>
          </c:cat>
          <c:val>
            <c:numRef>
              <c:f>Hoja2!$D$28:$D$36</c:f>
              <c:numCache>
                <c:formatCode>0.0%</c:formatCode>
                <c:ptCount val="9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0.926670219042943</c:v>
                </c:pt>
                <c:pt idx="6">
                  <c:v>0.99687464286403382</c:v>
                </c:pt>
                <c:pt idx="7">
                  <c:v>1</c:v>
                </c:pt>
                <c:pt idx="8">
                  <c:v>0.99999833926492543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825-4535-AEA5-9337B5AB87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3"/>
        <c:axId val="361566496"/>
        <c:axId val="361566888"/>
      </c:barChart>
      <c:catAx>
        <c:axId val="3615664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/>
            </a:pPr>
            <a:endParaRPr lang="es-CL"/>
          </a:p>
        </c:txPr>
        <c:crossAx val="361566888"/>
        <c:crossesAt val="0"/>
        <c:auto val="1"/>
        <c:lblAlgn val="ctr"/>
        <c:lblOffset val="100"/>
        <c:noMultiLvlLbl val="0"/>
      </c:catAx>
      <c:valAx>
        <c:axId val="361566888"/>
        <c:scaling>
          <c:orientation val="minMax"/>
          <c:max val="1"/>
          <c:min val="0"/>
        </c:scaling>
        <c:delete val="0"/>
        <c:axPos val="l"/>
        <c:numFmt formatCode="0.0%" sourceLinked="1"/>
        <c:majorTickMark val="out"/>
        <c:minorTickMark val="none"/>
        <c:tickLblPos val="nextTo"/>
        <c:crossAx val="361566496"/>
        <c:crosses val="autoZero"/>
        <c:crossBetween val="between"/>
        <c:majorUnit val="0.1"/>
        <c:minorUnit val="2.0000000000000004E-2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Hoja2!$C$54</c:f>
              <c:strCache>
                <c:ptCount val="1"/>
                <c:pt idx="0">
                  <c:v>2022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'[4]gráficos comparados 2023'!$A$68:$A$77</c:f>
              <c:strCache>
                <c:ptCount val="10"/>
                <c:pt idx="0">
                  <c:v>087 Actividades De Fomento Y Desarrollo Cultural</c:v>
                </c:pt>
                <c:pt idx="1">
                  <c:v>098 Conjuntos Artísticos Estables</c:v>
                </c:pt>
                <c:pt idx="2">
                  <c:v>122 Fomento del Arte en la Educación</c:v>
                </c:pt>
                <c:pt idx="3">
                  <c:v>129 Red Cultura</c:v>
                </c:pt>
                <c:pt idx="4">
                  <c:v>135 Centros de Creación</c:v>
                </c:pt>
                <c:pt idx="5">
                  <c:v>138 Apoyo Organizaciones Culturales Colaboradoras</c:v>
                </c:pt>
                <c:pt idx="6">
                  <c:v>139 Programa Nacional de Desarrollo Artístico en la Educación</c:v>
                </c:pt>
                <c:pt idx="7">
                  <c:v>145Programa de Exportación de Servicios</c:v>
                </c:pt>
                <c:pt idx="8">
                  <c:v>146 Fomento y Desarrollo de Artes de la Visualidad</c:v>
                </c:pt>
                <c:pt idx="9">
                  <c:v>150 Promoción y Fortalecimiento del Trabajo Cultural</c:v>
                </c:pt>
              </c:strCache>
            </c:strRef>
          </c:cat>
          <c:val>
            <c:numRef>
              <c:f>Hoja2!$C$55:$C$64</c:f>
              <c:numCache>
                <c:formatCode>0.0%</c:formatCode>
                <c:ptCount val="10"/>
                <c:pt idx="0">
                  <c:v>0.26701799508388502</c:v>
                </c:pt>
                <c:pt idx="1">
                  <c:v>0.57545224522286631</c:v>
                </c:pt>
                <c:pt idx="2">
                  <c:v>0.44203082518743936</c:v>
                </c:pt>
                <c:pt idx="3">
                  <c:v>0.20742385988090772</c:v>
                </c:pt>
                <c:pt idx="4">
                  <c:v>0.50692134377194675</c:v>
                </c:pt>
                <c:pt idx="5">
                  <c:v>7.2290766163237791E-2</c:v>
                </c:pt>
                <c:pt idx="6">
                  <c:v>0.58181215512997464</c:v>
                </c:pt>
                <c:pt idx="7">
                  <c:v>1.9366924288250032E-2</c:v>
                </c:pt>
                <c:pt idx="8">
                  <c:v>0.34940423094720108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B2C3-478C-A59C-508E301E3524}"/>
            </c:ext>
          </c:extLst>
        </c:ser>
        <c:ser>
          <c:idx val="1"/>
          <c:order val="1"/>
          <c:tx>
            <c:strRef>
              <c:f>Hoja2!$D$54</c:f>
              <c:strCache>
                <c:ptCount val="1"/>
                <c:pt idx="0">
                  <c:v>2023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'[4]gráficos comparados 2023'!$A$68:$A$77</c:f>
              <c:strCache>
                <c:ptCount val="10"/>
                <c:pt idx="0">
                  <c:v>087 Actividades De Fomento Y Desarrollo Cultural</c:v>
                </c:pt>
                <c:pt idx="1">
                  <c:v>098 Conjuntos Artísticos Estables</c:v>
                </c:pt>
                <c:pt idx="2">
                  <c:v>122 Fomento del Arte en la Educación</c:v>
                </c:pt>
                <c:pt idx="3">
                  <c:v>129 Red Cultura</c:v>
                </c:pt>
                <c:pt idx="4">
                  <c:v>135 Centros de Creación</c:v>
                </c:pt>
                <c:pt idx="5">
                  <c:v>138 Apoyo Organizaciones Culturales Colaboradoras</c:v>
                </c:pt>
                <c:pt idx="6">
                  <c:v>139 Programa Nacional de Desarrollo Artístico en la Educación</c:v>
                </c:pt>
                <c:pt idx="7">
                  <c:v>145Programa de Exportación de Servicios</c:v>
                </c:pt>
                <c:pt idx="8">
                  <c:v>146 Fomento y Desarrollo de Artes de la Visualidad</c:v>
                </c:pt>
                <c:pt idx="9">
                  <c:v>150 Promoción y Fortalecimiento del Trabajo Cultural</c:v>
                </c:pt>
              </c:strCache>
            </c:strRef>
          </c:cat>
          <c:val>
            <c:numRef>
              <c:f>Hoja2!$D$55:$D$64</c:f>
              <c:numCache>
                <c:formatCode>0.0%</c:formatCode>
                <c:ptCount val="10"/>
                <c:pt idx="0">
                  <c:v>0.33149134256415524</c:v>
                </c:pt>
                <c:pt idx="1">
                  <c:v>0.58702925223458291</c:v>
                </c:pt>
                <c:pt idx="2">
                  <c:v>0.35216681909898595</c:v>
                </c:pt>
                <c:pt idx="3">
                  <c:v>0.13374634459801724</c:v>
                </c:pt>
                <c:pt idx="4">
                  <c:v>0.54390869377319939</c:v>
                </c:pt>
                <c:pt idx="5">
                  <c:v>6.2388228246738946E-2</c:v>
                </c:pt>
                <c:pt idx="6">
                  <c:v>0.60583042156479727</c:v>
                </c:pt>
                <c:pt idx="7">
                  <c:v>7.8127916274694259E-2</c:v>
                </c:pt>
                <c:pt idx="8">
                  <c:v>0.22094785526458405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B2C3-478C-A59C-508E301E35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7"/>
        <c:axId val="361567672"/>
        <c:axId val="361569632"/>
      </c:barChart>
      <c:catAx>
        <c:axId val="36156767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/>
            </a:pPr>
            <a:endParaRPr lang="es-CL"/>
          </a:p>
        </c:txPr>
        <c:crossAx val="361569632"/>
        <c:crosses val="autoZero"/>
        <c:auto val="1"/>
        <c:lblAlgn val="ctr"/>
        <c:lblOffset val="100"/>
        <c:noMultiLvlLbl val="0"/>
      </c:catAx>
      <c:valAx>
        <c:axId val="361569632"/>
        <c:scaling>
          <c:orientation val="minMax"/>
          <c:max val="1"/>
          <c:min val="0"/>
        </c:scaling>
        <c:delete val="0"/>
        <c:axPos val="l"/>
        <c:numFmt formatCode="0%" sourceLinked="0"/>
        <c:majorTickMark val="out"/>
        <c:minorTickMark val="none"/>
        <c:tickLblPos val="nextTo"/>
        <c:crossAx val="361567672"/>
        <c:crosses val="autoZero"/>
        <c:crossBetween val="between"/>
        <c:minorUnit val="1.0000000000000002E-2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Hoja2!$D$84</c:f>
              <c:strCache>
                <c:ptCount val="1"/>
                <c:pt idx="0">
                  <c:v>2022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'[4]gráficos comparados 2023'!$A$89:$A$91</c:f>
              <c:strCache>
                <c:ptCount val="3"/>
                <c:pt idx="0">
                  <c:v>21 Gastos en Personal</c:v>
                </c:pt>
                <c:pt idx="1">
                  <c:v>22 Bs y Ss de Consumo</c:v>
                </c:pt>
                <c:pt idx="2">
                  <c:v>24 Transferencias Corrientes</c:v>
                </c:pt>
              </c:strCache>
            </c:strRef>
          </c:cat>
          <c:val>
            <c:numRef>
              <c:f>Hoja2!$D$85:$D$87</c:f>
              <c:numCache>
                <c:formatCode>0.0%</c:formatCode>
                <c:ptCount val="3"/>
                <c:pt idx="0">
                  <c:v>0.45351405291699032</c:v>
                </c:pt>
                <c:pt idx="1">
                  <c:v>0.15550703541969918</c:v>
                </c:pt>
                <c:pt idx="2">
                  <c:v>0.71096668936928775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1D4-4FF5-89FD-0854CE27343E}"/>
            </c:ext>
          </c:extLst>
        </c:ser>
        <c:ser>
          <c:idx val="1"/>
          <c:order val="1"/>
          <c:tx>
            <c:strRef>
              <c:f>Hoja2!$E$84</c:f>
              <c:strCache>
                <c:ptCount val="1"/>
                <c:pt idx="0">
                  <c:v>2023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'[4]gráficos comparados 2023'!$A$89:$A$91</c:f>
              <c:strCache>
                <c:ptCount val="3"/>
                <c:pt idx="0">
                  <c:v>21 Gastos en Personal</c:v>
                </c:pt>
                <c:pt idx="1">
                  <c:v>22 Bs y Ss de Consumo</c:v>
                </c:pt>
                <c:pt idx="2">
                  <c:v>24 Transferencias Corrientes</c:v>
                </c:pt>
              </c:strCache>
            </c:strRef>
          </c:cat>
          <c:val>
            <c:numRef>
              <c:f>Hoja2!$E$85:$E$87</c:f>
              <c:numCache>
                <c:formatCode>0.0%</c:formatCode>
                <c:ptCount val="3"/>
                <c:pt idx="0">
                  <c:v>0.45513450862042593</c:v>
                </c:pt>
                <c:pt idx="1">
                  <c:v>0.12535266234898162</c:v>
                </c:pt>
                <c:pt idx="2">
                  <c:v>0.78162874104487756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31D4-4FF5-89FD-0854CE2734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61570024"/>
        <c:axId val="361570808"/>
      </c:barChart>
      <c:catAx>
        <c:axId val="36157002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361570808"/>
        <c:crosses val="autoZero"/>
        <c:auto val="1"/>
        <c:lblAlgn val="ctr"/>
        <c:lblOffset val="100"/>
        <c:noMultiLvlLbl val="0"/>
      </c:catAx>
      <c:valAx>
        <c:axId val="361570808"/>
        <c:scaling>
          <c:orientation val="minMax"/>
          <c:max val="1"/>
          <c:min val="0"/>
        </c:scaling>
        <c:delete val="0"/>
        <c:axPos val="l"/>
        <c:numFmt formatCode="0%" sourceLinked="0"/>
        <c:majorTickMark val="out"/>
        <c:minorTickMark val="none"/>
        <c:tickLblPos val="nextTo"/>
        <c:crossAx val="36157002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Hoja2!$D$109</c:f>
              <c:strCache>
                <c:ptCount val="1"/>
                <c:pt idx="0">
                  <c:v>2022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'[4]gráficos comparados 2023'!$A$102:$A$106</c:f>
              <c:strCache>
                <c:ptCount val="5"/>
                <c:pt idx="0">
                  <c:v>094 Fondo del Libro</c:v>
                </c:pt>
                <c:pt idx="1">
                  <c:v>097 Fondart</c:v>
                </c:pt>
                <c:pt idx="2">
                  <c:v>520 Fondo de la Música</c:v>
                </c:pt>
                <c:pt idx="3">
                  <c:v>521 Fondo Audiovisual</c:v>
                </c:pt>
                <c:pt idx="4">
                  <c:v>522 Fomento y Desarrollo de Artes Escénicas</c:v>
                </c:pt>
              </c:strCache>
            </c:strRef>
          </c:cat>
          <c:val>
            <c:numRef>
              <c:f>Hoja2!$D$110:$D$114</c:f>
              <c:numCache>
                <c:formatCode>0.0%</c:formatCode>
                <c:ptCount val="5"/>
                <c:pt idx="0">
                  <c:v>0.69078105497891995</c:v>
                </c:pt>
                <c:pt idx="1">
                  <c:v>0.83232501971141326</c:v>
                </c:pt>
                <c:pt idx="2">
                  <c:v>0.62087388572263624</c:v>
                </c:pt>
                <c:pt idx="3">
                  <c:v>0.62669199357141914</c:v>
                </c:pt>
                <c:pt idx="4">
                  <c:v>0.75340603524128824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0E2-4C3C-85E8-CED00213830C}"/>
            </c:ext>
          </c:extLst>
        </c:ser>
        <c:ser>
          <c:idx val="1"/>
          <c:order val="1"/>
          <c:tx>
            <c:strRef>
              <c:f>Hoja2!$E$109</c:f>
              <c:strCache>
                <c:ptCount val="1"/>
                <c:pt idx="0">
                  <c:v>2023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'[4]gráficos comparados 2023'!$A$102:$A$106</c:f>
              <c:strCache>
                <c:ptCount val="5"/>
                <c:pt idx="0">
                  <c:v>094 Fondo del Libro</c:v>
                </c:pt>
                <c:pt idx="1">
                  <c:v>097 Fondart</c:v>
                </c:pt>
                <c:pt idx="2">
                  <c:v>520 Fondo de la Música</c:v>
                </c:pt>
                <c:pt idx="3">
                  <c:v>521 Fondo Audiovisual</c:v>
                </c:pt>
                <c:pt idx="4">
                  <c:v>522 Fomento y Desarrollo de Artes Escénicas</c:v>
                </c:pt>
              </c:strCache>
            </c:strRef>
          </c:cat>
          <c:val>
            <c:numRef>
              <c:f>Hoja2!$E$110:$E$114</c:f>
              <c:numCache>
                <c:formatCode>0.0%</c:formatCode>
                <c:ptCount val="5"/>
                <c:pt idx="0">
                  <c:v>0.73824235526215065</c:v>
                </c:pt>
                <c:pt idx="1">
                  <c:v>0.92639107511942598</c:v>
                </c:pt>
                <c:pt idx="2">
                  <c:v>0.63957219359620798</c:v>
                </c:pt>
                <c:pt idx="3">
                  <c:v>0.70874342361365461</c:v>
                </c:pt>
                <c:pt idx="4">
                  <c:v>0.79553002709534326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60E2-4C3C-85E8-CED0021383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6"/>
        <c:axId val="362613824"/>
        <c:axId val="362614216"/>
      </c:barChart>
      <c:catAx>
        <c:axId val="36261382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362614216"/>
        <c:crosses val="autoZero"/>
        <c:auto val="1"/>
        <c:lblAlgn val="ctr"/>
        <c:lblOffset val="100"/>
        <c:noMultiLvlLbl val="0"/>
      </c:catAx>
      <c:valAx>
        <c:axId val="362614216"/>
        <c:scaling>
          <c:orientation val="minMax"/>
          <c:max val="1"/>
          <c:min val="0"/>
        </c:scaling>
        <c:delete val="0"/>
        <c:axPos val="l"/>
        <c:numFmt formatCode="0%" sourceLinked="0"/>
        <c:majorTickMark val="out"/>
        <c:minorTickMark val="none"/>
        <c:tickLblPos val="nextTo"/>
        <c:crossAx val="36261382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7.501992048185864E-2"/>
          <c:y val="3.2321745807974873E-2"/>
          <c:w val="0.91471015922340349"/>
          <c:h val="0.89869683320152671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'[3]Gráficos 2023'!$B$46:$B$55</c:f>
              <c:strCache>
                <c:ptCount val="10"/>
                <c:pt idx="0">
                  <c:v>087 Actividades De Fomento Y Desarrollo Cultural</c:v>
                </c:pt>
                <c:pt idx="1">
                  <c:v>098 Conjuntos Artísticos Estables</c:v>
                </c:pt>
                <c:pt idx="2">
                  <c:v>122 Fomento del Arte en la Educación</c:v>
                </c:pt>
                <c:pt idx="3">
                  <c:v>129 Red Cultura y Puntos de Cultura Comunitaria</c:v>
                </c:pt>
                <c:pt idx="4">
                  <c:v>135 Centros de Creación y Desarrollo Artístico para Niños y Jóvenes</c:v>
                </c:pt>
                <c:pt idx="5">
                  <c:v>138 Fomento y Desarrollo de Ecosistemas Creativos y Organizaciones Culturales Colaboradoras</c:v>
                </c:pt>
                <c:pt idx="6">
                  <c:v>139 Programa Nacional de Desarrollo Artístico en la Educación</c:v>
                </c:pt>
                <c:pt idx="7">
                  <c:v>145 Programa de Exportación de Servicios</c:v>
                </c:pt>
                <c:pt idx="8">
                  <c:v>146 Fomento y Desarrollo de Artes de la Visualidad</c:v>
                </c:pt>
                <c:pt idx="9">
                  <c:v>150 Promoción y Fortalecimiento del Trabajo Cultural</c:v>
                </c:pt>
              </c:strCache>
            </c:strRef>
          </c:cat>
          <c:val>
            <c:numRef>
              <c:f>'01-01'!$J$55:$J$64</c:f>
              <c:numCache>
                <c:formatCode>0.0%</c:formatCode>
                <c:ptCount val="10"/>
                <c:pt idx="0">
                  <c:v>0.901564167267634</c:v>
                </c:pt>
                <c:pt idx="1">
                  <c:v>0.96275986340576414</c:v>
                </c:pt>
                <c:pt idx="2">
                  <c:v>0.98258929253574823</c:v>
                </c:pt>
                <c:pt idx="3">
                  <c:v>0.91001104971846181</c:v>
                </c:pt>
                <c:pt idx="4">
                  <c:v>0.95634615819221414</c:v>
                </c:pt>
                <c:pt idx="5">
                  <c:v>0.99862677622232388</c:v>
                </c:pt>
                <c:pt idx="6">
                  <c:v>0.97226170864006456</c:v>
                </c:pt>
                <c:pt idx="7">
                  <c:v>0.91419118273841238</c:v>
                </c:pt>
                <c:pt idx="8">
                  <c:v>0.86329017459308399</c:v>
                </c:pt>
                <c:pt idx="9">
                  <c:v>0.86626971032861833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48-410A-A2AD-EFCF8738CA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axId val="359958224"/>
        <c:axId val="317361936"/>
      </c:barChart>
      <c:catAx>
        <c:axId val="35995822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700"/>
            </a:pPr>
            <a:endParaRPr lang="es-CL"/>
          </a:p>
        </c:txPr>
        <c:crossAx val="317361936"/>
        <c:crosses val="autoZero"/>
        <c:auto val="1"/>
        <c:lblAlgn val="ctr"/>
        <c:lblOffset val="100"/>
        <c:noMultiLvlLbl val="0"/>
      </c:catAx>
      <c:valAx>
        <c:axId val="317361936"/>
        <c:scaling>
          <c:orientation val="minMax"/>
          <c:max val="1"/>
          <c:min val="0"/>
        </c:scaling>
        <c:delete val="0"/>
        <c:axPos val="l"/>
        <c:numFmt formatCode="0%" sourceLinked="0"/>
        <c:majorTickMark val="out"/>
        <c:minorTickMark val="none"/>
        <c:tickLblPos val="nextTo"/>
        <c:crossAx val="35995822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'Cuadros Diapo'!$G$6:$G$7</c:f>
              <c:strCache>
                <c:ptCount val="2"/>
                <c:pt idx="0">
                  <c:v>PRESUPUESTO</c:v>
                </c:pt>
              </c:strCache>
            </c:strRef>
          </c:tx>
          <c:invertIfNegative val="0"/>
          <c:cat>
            <c:strRef>
              <c:f>'[3]Gráficos 2023'!$A$22</c:f>
              <c:strCache>
                <c:ptCount val="1"/>
                <c:pt idx="0">
                  <c:v>P02 Fondos Culturales y Artísticos</c:v>
                </c:pt>
              </c:strCache>
            </c:strRef>
          </c:cat>
          <c:val>
            <c:numRef>
              <c:f>'Cuadros Diapo'!$G$18</c:f>
            </c:numRef>
          </c:val>
          <c:extLst>
            <c:ext xmlns:c16="http://schemas.microsoft.com/office/drawing/2014/chart" uri="{C3380CC4-5D6E-409C-BE32-E72D297353CC}">
              <c16:uniqueId val="{00000000-C793-4D94-A20B-ABAD8E02215D}"/>
            </c:ext>
          </c:extLst>
        </c:ser>
        <c:ser>
          <c:idx val="1"/>
          <c:order val="1"/>
          <c:tx>
            <c:strRef>
              <c:f>'Cuadros Diapo'!$H$6:$H$7</c:f>
              <c:strCache>
                <c:ptCount val="2"/>
                <c:pt idx="0">
                  <c:v>EJECUCIÓN</c:v>
                </c:pt>
              </c:strCache>
            </c:strRef>
          </c:tx>
          <c:invertIfNegative val="0"/>
          <c:cat>
            <c:strRef>
              <c:f>'[3]Gráficos 2023'!$A$22</c:f>
              <c:strCache>
                <c:ptCount val="1"/>
                <c:pt idx="0">
                  <c:v>P02 Fondos Culturales y Artísticos</c:v>
                </c:pt>
              </c:strCache>
            </c:strRef>
          </c:cat>
          <c:val>
            <c:numRef>
              <c:f>'Cuadros Diapo'!$H$18</c:f>
            </c:numRef>
          </c:val>
          <c:extLst>
            <c:ext xmlns:c16="http://schemas.microsoft.com/office/drawing/2014/chart" uri="{C3380CC4-5D6E-409C-BE32-E72D297353CC}">
              <c16:uniqueId val="{00000001-C793-4D94-A20B-ABAD8E0221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8568160"/>
        <c:axId val="360858872"/>
      </c:barChart>
      <c:catAx>
        <c:axId val="12856816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s-CL"/>
          </a:p>
        </c:txPr>
        <c:crossAx val="360858872"/>
        <c:crosses val="autoZero"/>
        <c:auto val="1"/>
        <c:lblAlgn val="ctr"/>
        <c:lblOffset val="100"/>
        <c:noMultiLvlLbl val="0"/>
      </c:catAx>
      <c:valAx>
        <c:axId val="360858872"/>
        <c:scaling>
          <c:orientation val="minMax"/>
          <c:min val="0"/>
        </c:scaling>
        <c:delete val="0"/>
        <c:axPos val="l"/>
        <c:numFmt formatCode="#,##0" sourceLinked="1"/>
        <c:majorTickMark val="out"/>
        <c:minorTickMark val="none"/>
        <c:tickLblPos val="nextTo"/>
        <c:crossAx val="12856816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'[3]Gráficos 2023'!$H$94:$H$96</c:f>
              <c:strCache>
                <c:ptCount val="3"/>
                <c:pt idx="0">
                  <c:v>21 Gastos en Personal</c:v>
                </c:pt>
                <c:pt idx="1">
                  <c:v>22 Bs y Ss de Consumo</c:v>
                </c:pt>
                <c:pt idx="2">
                  <c:v>24 Transferencias Corrientes</c:v>
                </c:pt>
              </c:strCache>
            </c:strRef>
          </c:cat>
          <c:val>
            <c:numRef>
              <c:f>('01-02'!$J$17,'01-02'!$J$25,'01-02'!$J$26)</c:f>
              <c:numCache>
                <c:formatCode>0.0%</c:formatCode>
                <c:ptCount val="3"/>
                <c:pt idx="0">
                  <c:v>0.91170700852783793</c:v>
                </c:pt>
                <c:pt idx="1">
                  <c:v>0.75565577979070253</c:v>
                </c:pt>
                <c:pt idx="2">
                  <c:v>0.98108740633536862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6E-4662-8E1A-7F579A9A13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60833952"/>
        <c:axId val="360837872"/>
      </c:barChart>
      <c:catAx>
        <c:axId val="360833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360837872"/>
        <c:crosses val="autoZero"/>
        <c:auto val="1"/>
        <c:lblAlgn val="ctr"/>
        <c:lblOffset val="100"/>
        <c:noMultiLvlLbl val="0"/>
      </c:catAx>
      <c:valAx>
        <c:axId val="360837872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360833952"/>
        <c:crosses val="autoZero"/>
        <c:crossBetween val="between"/>
        <c:majorUnit val="0.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'[3]Gráficos 2023'!$B$77:$B$81</c:f>
              <c:strCache>
                <c:ptCount val="5"/>
                <c:pt idx="0">
                  <c:v>094 Fomento del Libro y la Lectura</c:v>
                </c:pt>
                <c:pt idx="1">
                  <c:v>097 Fondo Nacional de Desarrollo Cultural y las Artes</c:v>
                </c:pt>
                <c:pt idx="2">
                  <c:v>520 Fomento de la Música Nacional</c:v>
                </c:pt>
                <c:pt idx="3">
                  <c:v>521 Fomento Audiovisual</c:v>
                </c:pt>
                <c:pt idx="4">
                  <c:v>522 Fomento y Desarrollo de Artes Escénicas</c:v>
                </c:pt>
              </c:strCache>
            </c:strRef>
          </c:cat>
          <c:val>
            <c:numRef>
              <c:f>'01-02'!$J$28:$J$32</c:f>
              <c:numCache>
                <c:formatCode>0.0%</c:formatCode>
                <c:ptCount val="5"/>
                <c:pt idx="0">
                  <c:v>0.97250689739387042</c:v>
                </c:pt>
                <c:pt idx="1">
                  <c:v>0.9943080075214954</c:v>
                </c:pt>
                <c:pt idx="2">
                  <c:v>0.9868425277207985</c:v>
                </c:pt>
                <c:pt idx="3">
                  <c:v>0.98435332807872167</c:v>
                </c:pt>
                <c:pt idx="4">
                  <c:v>0.95172710968318786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1E-456D-B228-E69A208AE8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axId val="360834344"/>
        <c:axId val="360834736"/>
      </c:barChart>
      <c:catAx>
        <c:axId val="3608343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360834736"/>
        <c:crosses val="autoZero"/>
        <c:auto val="1"/>
        <c:lblAlgn val="ctr"/>
        <c:lblOffset val="100"/>
        <c:noMultiLvlLbl val="0"/>
      </c:catAx>
      <c:valAx>
        <c:axId val="360834736"/>
        <c:scaling>
          <c:orientation val="minMax"/>
          <c:max val="1"/>
          <c:min val="0"/>
        </c:scaling>
        <c:delete val="0"/>
        <c:axPos val="l"/>
        <c:numFmt formatCode="0%" sourceLinked="0"/>
        <c:majorTickMark val="out"/>
        <c:minorTickMark val="none"/>
        <c:tickLblPos val="nextTo"/>
        <c:crossAx val="36083434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'Cuadros Diapo'!$E$54:$E$55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 xmlns:c16="http://schemas.microsoft.com/office/drawing/2014/chart">
                      <c:ext uri="{02D57815-91ED-43cb-92C2-25804820EDAC}">
                        <c15:formulaRef>
                          <c15:sqref>'Cuadros Diapo'!$D$54:$D$55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1785-412B-A93A-E0839265D1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60837088"/>
        <c:axId val="360835128"/>
      </c:barChart>
      <c:catAx>
        <c:axId val="3608370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360835128"/>
        <c:crosses val="autoZero"/>
        <c:auto val="1"/>
        <c:lblAlgn val="ctr"/>
        <c:lblOffset val="100"/>
        <c:noMultiLvlLbl val="0"/>
      </c:catAx>
      <c:valAx>
        <c:axId val="360835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3608370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525240594925633"/>
          <c:y val="4.214129483814523E-2"/>
          <c:w val="0.60633136482939631"/>
          <c:h val="0.83261956838728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Hoja1!$C$2</c:f>
              <c:strCache>
                <c:ptCount val="1"/>
                <c:pt idx="0">
                  <c:v>PRESUPUESTO VIGENTE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0"/>
                  <c:y val="-4.504815773624931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5F2-401A-96A3-8B15200AB30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/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'[3]Gráficos 2023'!$A$5</c:f>
              <c:strCache>
                <c:ptCount val="1"/>
                <c:pt idx="0">
                  <c:v>TOTAL SUBSECRETARÍA DE LAS CULTURAS Y LAS ARTES</c:v>
                </c:pt>
              </c:strCache>
            </c:strRef>
          </c:cat>
          <c:val>
            <c:numRef>
              <c:f>Hoja1!$C$5</c:f>
              <c:numCache>
                <c:formatCode>#,##0</c:formatCode>
                <c:ptCount val="1"/>
                <c:pt idx="0">
                  <c:v>178167.92300000001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20-40BA-AA07-E554B2C23B79}"/>
            </c:ext>
          </c:extLst>
        </c:ser>
        <c:ser>
          <c:idx val="1"/>
          <c:order val="1"/>
          <c:tx>
            <c:strRef>
              <c:f>Hoja1!$D$2</c:f>
              <c:strCache>
                <c:ptCount val="1"/>
                <c:pt idx="0">
                  <c:v>EJECUCIÓN</c:v>
                </c:pt>
              </c:strCache>
            </c:strRef>
          </c:tx>
          <c:invertIfNegative val="0"/>
          <c:cat>
            <c:strRef>
              <c:f>'[3]Gráficos 2023'!$A$5</c:f>
              <c:strCache>
                <c:ptCount val="1"/>
                <c:pt idx="0">
                  <c:v>TOTAL SUBSECRETARÍA DE LAS CULTURAS Y LAS ARTES</c:v>
                </c:pt>
              </c:strCache>
            </c:strRef>
          </c:cat>
          <c:val>
            <c:numRef>
              <c:f>Hoja1!$D$5</c:f>
              <c:numCache>
                <c:formatCode>#,##0</c:formatCode>
                <c:ptCount val="1"/>
                <c:pt idx="0">
                  <c:v>173319.21379799998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A20-40BA-AA07-E554B2C23B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60833560"/>
        <c:axId val="360839832"/>
      </c:barChart>
      <c:catAx>
        <c:axId val="36083356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000" b="1"/>
            </a:pPr>
            <a:endParaRPr lang="es-CL"/>
          </a:p>
        </c:txPr>
        <c:crossAx val="360839832"/>
        <c:crosses val="autoZero"/>
        <c:auto val="1"/>
        <c:lblAlgn val="ctr"/>
        <c:lblOffset val="100"/>
        <c:noMultiLvlLbl val="0"/>
      </c:catAx>
      <c:valAx>
        <c:axId val="360839832"/>
        <c:scaling>
          <c:orientation val="minMax"/>
          <c:min val="0"/>
        </c:scaling>
        <c:delete val="0"/>
        <c:axPos val="l"/>
        <c:numFmt formatCode="#,##0" sourceLinked="1"/>
        <c:majorTickMark val="out"/>
        <c:minorTickMark val="none"/>
        <c:tickLblPos val="nextTo"/>
        <c:crossAx val="360833560"/>
        <c:crosses val="autoZero"/>
        <c:crossBetween val="between"/>
        <c:majorUnit val="20000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Hoja1!$C$2</c:f>
              <c:strCache>
                <c:ptCount val="1"/>
                <c:pt idx="0">
                  <c:v>PRESUPUESTO VIGENTE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'[3]Gráficos 2023'!$A$12</c:f>
              <c:strCache>
                <c:ptCount val="1"/>
                <c:pt idx="0">
                  <c:v>P01 Subsecretaría de las Culturas y las Artes</c:v>
                </c:pt>
              </c:strCache>
            </c:strRef>
          </c:cat>
          <c:val>
            <c:numRef>
              <c:f>Hoja1!$C$3</c:f>
              <c:numCache>
                <c:formatCode>#,##0</c:formatCode>
                <c:ptCount val="1"/>
                <c:pt idx="0">
                  <c:v>124771.12000000002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A8-4973-BF2F-82972DC35BC3}"/>
            </c:ext>
          </c:extLst>
        </c:ser>
        <c:ser>
          <c:idx val="1"/>
          <c:order val="1"/>
          <c:tx>
            <c:strRef>
              <c:f>Hoja1!$D$2</c:f>
              <c:strCache>
                <c:ptCount val="1"/>
                <c:pt idx="0">
                  <c:v>EJECUCIÓN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'[3]Gráficos 2023'!$A$12</c:f>
              <c:strCache>
                <c:ptCount val="1"/>
                <c:pt idx="0">
                  <c:v>P01 Subsecretaría de las Culturas y las Artes</c:v>
                </c:pt>
              </c:strCache>
            </c:strRef>
          </c:cat>
          <c:val>
            <c:numRef>
              <c:f>Hoja1!$D$3</c:f>
              <c:numCache>
                <c:formatCode>#,##0</c:formatCode>
                <c:ptCount val="1"/>
                <c:pt idx="0">
                  <c:v>121215.68206399999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7A8-4973-BF2F-82972DC35B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60836304"/>
        <c:axId val="360840224"/>
      </c:barChart>
      <c:catAx>
        <c:axId val="3608363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s-CL"/>
          </a:p>
        </c:txPr>
        <c:crossAx val="360840224"/>
        <c:crosses val="autoZero"/>
        <c:auto val="1"/>
        <c:lblAlgn val="ctr"/>
        <c:lblOffset val="100"/>
        <c:noMultiLvlLbl val="0"/>
      </c:catAx>
      <c:valAx>
        <c:axId val="360840224"/>
        <c:scaling>
          <c:orientation val="minMax"/>
          <c:min val="0"/>
        </c:scaling>
        <c:delete val="0"/>
        <c:axPos val="l"/>
        <c:numFmt formatCode="#,##0" sourceLinked="1"/>
        <c:majorTickMark val="out"/>
        <c:minorTickMark val="none"/>
        <c:tickLblPos val="nextTo"/>
        <c:crossAx val="36083630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4.xml"/><Relationship Id="rId2" Type="http://schemas.openxmlformats.org/officeDocument/2006/relationships/chart" Target="../charts/chart23.xml"/><Relationship Id="rId1" Type="http://schemas.openxmlformats.org/officeDocument/2006/relationships/chart" Target="../charts/chart22.xml"/><Relationship Id="rId5" Type="http://schemas.openxmlformats.org/officeDocument/2006/relationships/chart" Target="../charts/chart26.xml"/><Relationship Id="rId4" Type="http://schemas.openxmlformats.org/officeDocument/2006/relationships/chart" Target="../charts/chart25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5.xml"/><Relationship Id="rId13" Type="http://schemas.openxmlformats.org/officeDocument/2006/relationships/chart" Target="../charts/chart20.xml"/><Relationship Id="rId3" Type="http://schemas.openxmlformats.org/officeDocument/2006/relationships/chart" Target="../charts/chart10.xml"/><Relationship Id="rId7" Type="http://schemas.openxmlformats.org/officeDocument/2006/relationships/chart" Target="../charts/chart14.xml"/><Relationship Id="rId12" Type="http://schemas.openxmlformats.org/officeDocument/2006/relationships/chart" Target="../charts/chart19.xml"/><Relationship Id="rId2" Type="http://schemas.openxmlformats.org/officeDocument/2006/relationships/chart" Target="../charts/chart9.xml"/><Relationship Id="rId1" Type="http://schemas.openxmlformats.org/officeDocument/2006/relationships/chart" Target="../charts/chart8.xml"/><Relationship Id="rId6" Type="http://schemas.openxmlformats.org/officeDocument/2006/relationships/chart" Target="../charts/chart13.xml"/><Relationship Id="rId11" Type="http://schemas.openxmlformats.org/officeDocument/2006/relationships/chart" Target="../charts/chart18.xml"/><Relationship Id="rId5" Type="http://schemas.openxmlformats.org/officeDocument/2006/relationships/chart" Target="../charts/chart12.xml"/><Relationship Id="rId10" Type="http://schemas.openxmlformats.org/officeDocument/2006/relationships/chart" Target="../charts/chart17.xml"/><Relationship Id="rId4" Type="http://schemas.openxmlformats.org/officeDocument/2006/relationships/chart" Target="../charts/chart11.xml"/><Relationship Id="rId9" Type="http://schemas.openxmlformats.org/officeDocument/2006/relationships/chart" Target="../charts/chart16.xml"/><Relationship Id="rId14" Type="http://schemas.openxmlformats.org/officeDocument/2006/relationships/chart" Target="../charts/chart21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1.emf"/><Relationship Id="rId2" Type="http://schemas.openxmlformats.org/officeDocument/2006/relationships/image" Target="../media/image2.emf"/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29</xdr:row>
          <xdr:rowOff>0</xdr:rowOff>
        </xdr:from>
        <xdr:to>
          <xdr:col>5</xdr:col>
          <xdr:colOff>152400</xdr:colOff>
          <xdr:row>30</xdr:row>
          <xdr:rowOff>28575</xdr:rowOff>
        </xdr:to>
        <xdr:sp macro="" textlink="">
          <xdr:nvSpPr>
            <xdr:cNvPr id="9217" name="Control 1" hidden="1"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:a16="http://schemas.microsoft.com/office/drawing/2014/main" id="{00000000-0008-0000-0900-00000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29</xdr:row>
          <xdr:rowOff>0</xdr:rowOff>
        </xdr:from>
        <xdr:to>
          <xdr:col>9</xdr:col>
          <xdr:colOff>152400</xdr:colOff>
          <xdr:row>30</xdr:row>
          <xdr:rowOff>28575</xdr:rowOff>
        </xdr:to>
        <xdr:sp macro="" textlink="">
          <xdr:nvSpPr>
            <xdr:cNvPr id="9218" name="Control 2" hidden="1">
              <a:extLst>
                <a:ext uri="{63B3BB69-23CF-44E3-9099-C40C66FF867C}">
                  <a14:compatExt spid="_x0000_s9218"/>
                </a:ext>
                <a:ext uri="{FF2B5EF4-FFF2-40B4-BE49-F238E27FC236}">
                  <a16:creationId xmlns:a16="http://schemas.microsoft.com/office/drawing/2014/main" id="{00000000-0008-0000-0900-000002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29</xdr:row>
          <xdr:rowOff>0</xdr:rowOff>
        </xdr:from>
        <xdr:to>
          <xdr:col>13</xdr:col>
          <xdr:colOff>152400</xdr:colOff>
          <xdr:row>30</xdr:row>
          <xdr:rowOff>28575</xdr:rowOff>
        </xdr:to>
        <xdr:sp macro="" textlink="">
          <xdr:nvSpPr>
            <xdr:cNvPr id="9219" name="Control 3" hidden="1">
              <a:extLst>
                <a:ext uri="{63B3BB69-23CF-44E3-9099-C40C66FF867C}">
                  <a14:compatExt spid="_x0000_s9219"/>
                </a:ext>
                <a:ext uri="{FF2B5EF4-FFF2-40B4-BE49-F238E27FC236}">
                  <a16:creationId xmlns:a16="http://schemas.microsoft.com/office/drawing/2014/main" id="{00000000-0008-0000-0900-000003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0.84792</cdr:x>
      <cdr:y>0.10243</cdr:y>
    </cdr:from>
    <cdr:to>
      <cdr:x>0.9375</cdr:x>
      <cdr:y>0.22743</cdr:y>
    </cdr:to>
    <cdr:sp macro="" textlink="">
      <cdr:nvSpPr>
        <cdr:cNvPr id="2" name="CuadroTexto 1"/>
        <cdr:cNvSpPr txBox="1"/>
      </cdr:nvSpPr>
      <cdr:spPr>
        <a:xfrm xmlns:a="http://schemas.openxmlformats.org/drawingml/2006/main">
          <a:off x="3876675" y="280988"/>
          <a:ext cx="409575" cy="3429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s-CL" sz="1100"/>
        </a:p>
      </cdr:txBody>
    </cdr:sp>
  </cdr:relSizeAnchor>
  <cdr:relSizeAnchor xmlns:cdr="http://schemas.openxmlformats.org/drawingml/2006/chartDrawing">
    <cdr:from>
      <cdr:x>0.23966</cdr:x>
      <cdr:y>0.80139</cdr:y>
    </cdr:from>
    <cdr:to>
      <cdr:x>0.45007</cdr:x>
      <cdr:y>0.90491</cdr:y>
    </cdr:to>
    <cdr:sp macro="" textlink="">
      <cdr:nvSpPr>
        <cdr:cNvPr id="3" name="CuadroTexto 2"/>
        <cdr:cNvSpPr txBox="1"/>
      </cdr:nvSpPr>
      <cdr:spPr>
        <a:xfrm xmlns:a="http://schemas.openxmlformats.org/drawingml/2006/main">
          <a:off x="1792550" y="3705134"/>
          <a:ext cx="1573780" cy="4786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s-CL" sz="1050" b="0" dirty="0">
              <a:solidFill>
                <a:schemeClr val="bg1"/>
              </a:solidFill>
            </a:rPr>
            <a:t>MM$156.455</a:t>
          </a:r>
          <a:endParaRPr lang="es-CL" sz="1100" b="0" dirty="0">
            <a:solidFill>
              <a:schemeClr val="bg1"/>
            </a:solidFill>
          </a:endParaRPr>
        </a:p>
      </cdr:txBody>
    </cdr:sp>
  </cdr:relSizeAnchor>
  <cdr:relSizeAnchor xmlns:cdr="http://schemas.openxmlformats.org/drawingml/2006/chartDrawing">
    <cdr:from>
      <cdr:x>0.49926</cdr:x>
      <cdr:y>0.76727</cdr:y>
    </cdr:from>
    <cdr:to>
      <cdr:x>0.71905</cdr:x>
      <cdr:y>0.86744</cdr:y>
    </cdr:to>
    <cdr:sp macro="" textlink="">
      <cdr:nvSpPr>
        <cdr:cNvPr id="4" name="CuadroTexto 1"/>
        <cdr:cNvSpPr txBox="1"/>
      </cdr:nvSpPr>
      <cdr:spPr>
        <a:xfrm xmlns:a="http://schemas.openxmlformats.org/drawingml/2006/main">
          <a:off x="3734233" y="3547363"/>
          <a:ext cx="1643938" cy="46312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s-CL" sz="1050" dirty="0">
              <a:solidFill>
                <a:schemeClr val="bg1"/>
              </a:solidFill>
            </a:rPr>
            <a:t>MM$177.878</a:t>
          </a:r>
          <a:endParaRPr lang="es-CL" sz="1050" b="0" dirty="0">
            <a:solidFill>
              <a:schemeClr val="bg1"/>
            </a:solidFill>
          </a:endParaRP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0.84792</cdr:x>
      <cdr:y>0.10243</cdr:y>
    </cdr:from>
    <cdr:to>
      <cdr:x>0.9375</cdr:x>
      <cdr:y>0.22743</cdr:y>
    </cdr:to>
    <cdr:sp macro="" textlink="">
      <cdr:nvSpPr>
        <cdr:cNvPr id="2" name="CuadroTexto 1"/>
        <cdr:cNvSpPr txBox="1"/>
      </cdr:nvSpPr>
      <cdr:spPr>
        <a:xfrm xmlns:a="http://schemas.openxmlformats.org/drawingml/2006/main">
          <a:off x="3876675" y="280988"/>
          <a:ext cx="409575" cy="3429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s-CL" sz="1100"/>
        </a:p>
      </cdr:txBody>
    </cdr:sp>
  </cdr:relSizeAnchor>
  <cdr:relSizeAnchor xmlns:cdr="http://schemas.openxmlformats.org/drawingml/2006/chartDrawing">
    <cdr:from>
      <cdr:x>0.23966</cdr:x>
      <cdr:y>0.80139</cdr:y>
    </cdr:from>
    <cdr:to>
      <cdr:x>0.45007</cdr:x>
      <cdr:y>0.90491</cdr:y>
    </cdr:to>
    <cdr:sp macro="" textlink="">
      <cdr:nvSpPr>
        <cdr:cNvPr id="3" name="CuadroTexto 2"/>
        <cdr:cNvSpPr txBox="1"/>
      </cdr:nvSpPr>
      <cdr:spPr>
        <a:xfrm xmlns:a="http://schemas.openxmlformats.org/drawingml/2006/main">
          <a:off x="1792550" y="3705134"/>
          <a:ext cx="1573780" cy="4786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s-CL" sz="1050" b="0" dirty="0">
              <a:solidFill>
                <a:schemeClr val="bg1"/>
              </a:solidFill>
            </a:rPr>
            <a:t>MM$82.881</a:t>
          </a:r>
          <a:endParaRPr lang="es-CL" sz="1100" b="0" dirty="0">
            <a:solidFill>
              <a:schemeClr val="bg1"/>
            </a:solidFill>
          </a:endParaRPr>
        </a:p>
      </cdr:txBody>
    </cdr:sp>
  </cdr:relSizeAnchor>
  <cdr:relSizeAnchor xmlns:cdr="http://schemas.openxmlformats.org/drawingml/2006/chartDrawing">
    <cdr:from>
      <cdr:x>0.49926</cdr:x>
      <cdr:y>0.76727</cdr:y>
    </cdr:from>
    <cdr:to>
      <cdr:x>0.71905</cdr:x>
      <cdr:y>0.86744</cdr:y>
    </cdr:to>
    <cdr:sp macro="" textlink="">
      <cdr:nvSpPr>
        <cdr:cNvPr id="4" name="CuadroTexto 1"/>
        <cdr:cNvSpPr txBox="1"/>
      </cdr:nvSpPr>
      <cdr:spPr>
        <a:xfrm xmlns:a="http://schemas.openxmlformats.org/drawingml/2006/main">
          <a:off x="3734233" y="3547363"/>
          <a:ext cx="1643938" cy="46312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s-CL" sz="1050" dirty="0">
              <a:solidFill>
                <a:schemeClr val="bg1"/>
              </a:solidFill>
            </a:rPr>
            <a:t>MM$111.472</a:t>
          </a:r>
          <a:endParaRPr lang="es-CL" sz="1050" b="0" dirty="0">
            <a:solidFill>
              <a:schemeClr val="bg1"/>
            </a:solidFill>
          </a:endParaRPr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0.84792</cdr:x>
      <cdr:y>0.10243</cdr:y>
    </cdr:from>
    <cdr:to>
      <cdr:x>0.9375</cdr:x>
      <cdr:y>0.22743</cdr:y>
    </cdr:to>
    <cdr:sp macro="" textlink="">
      <cdr:nvSpPr>
        <cdr:cNvPr id="2" name="CuadroTexto 1"/>
        <cdr:cNvSpPr txBox="1"/>
      </cdr:nvSpPr>
      <cdr:spPr>
        <a:xfrm xmlns:a="http://schemas.openxmlformats.org/drawingml/2006/main">
          <a:off x="3876675" y="280988"/>
          <a:ext cx="409575" cy="3429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s-CL" sz="1100"/>
        </a:p>
      </cdr:txBody>
    </cdr:sp>
  </cdr:relSizeAnchor>
  <cdr:relSizeAnchor xmlns:cdr="http://schemas.openxmlformats.org/drawingml/2006/chartDrawing">
    <cdr:from>
      <cdr:x>0.23966</cdr:x>
      <cdr:y>0.80139</cdr:y>
    </cdr:from>
    <cdr:to>
      <cdr:x>0.45007</cdr:x>
      <cdr:y>0.90491</cdr:y>
    </cdr:to>
    <cdr:sp macro="" textlink="">
      <cdr:nvSpPr>
        <cdr:cNvPr id="3" name="CuadroTexto 2"/>
        <cdr:cNvSpPr txBox="1"/>
      </cdr:nvSpPr>
      <cdr:spPr>
        <a:xfrm xmlns:a="http://schemas.openxmlformats.org/drawingml/2006/main">
          <a:off x="1792550" y="3705134"/>
          <a:ext cx="1573780" cy="4786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s-CL" sz="1050" b="0" dirty="0">
              <a:solidFill>
                <a:schemeClr val="bg1"/>
              </a:solidFill>
            </a:rPr>
            <a:t>MM$  1.258 </a:t>
          </a:r>
        </a:p>
      </cdr:txBody>
    </cdr:sp>
  </cdr:relSizeAnchor>
  <cdr:relSizeAnchor xmlns:cdr="http://schemas.openxmlformats.org/drawingml/2006/chartDrawing">
    <cdr:from>
      <cdr:x>0.49926</cdr:x>
      <cdr:y>0.76727</cdr:y>
    </cdr:from>
    <cdr:to>
      <cdr:x>0.71905</cdr:x>
      <cdr:y>0.86744</cdr:y>
    </cdr:to>
    <cdr:sp macro="" textlink="">
      <cdr:nvSpPr>
        <cdr:cNvPr id="4" name="CuadroTexto 1"/>
        <cdr:cNvSpPr txBox="1"/>
      </cdr:nvSpPr>
      <cdr:spPr>
        <a:xfrm xmlns:a="http://schemas.openxmlformats.org/drawingml/2006/main">
          <a:off x="3734233" y="3547363"/>
          <a:ext cx="1643938" cy="46312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s-CL" sz="1050" dirty="0">
              <a:solidFill>
                <a:schemeClr val="bg1"/>
              </a:solidFill>
            </a:rPr>
            <a:t>MM$  1.806 </a:t>
          </a:r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0.48007</cdr:x>
      <cdr:y>0.71529</cdr:y>
    </cdr:from>
    <cdr:to>
      <cdr:x>0.58202</cdr:x>
      <cdr:y>0.78872</cdr:y>
    </cdr:to>
    <cdr:sp macro="" textlink="">
      <cdr:nvSpPr>
        <cdr:cNvPr id="2" name="CuadroTexto 1"/>
        <cdr:cNvSpPr txBox="1"/>
      </cdr:nvSpPr>
      <cdr:spPr>
        <a:xfrm xmlns:a="http://schemas.openxmlformats.org/drawingml/2006/main">
          <a:off x="3219859" y="2435703"/>
          <a:ext cx="683819" cy="25003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CL" sz="1100" b="1" dirty="0">
              <a:solidFill>
                <a:schemeClr val="bg1"/>
              </a:solidFill>
            </a:rPr>
            <a:t>   53,6%</a:t>
          </a:r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0.48007</cdr:x>
      <cdr:y>0.71529</cdr:y>
    </cdr:from>
    <cdr:to>
      <cdr:x>0.58202</cdr:x>
      <cdr:y>0.78872</cdr:y>
    </cdr:to>
    <cdr:sp macro="" textlink="">
      <cdr:nvSpPr>
        <cdr:cNvPr id="2" name="CuadroTexto 1"/>
        <cdr:cNvSpPr txBox="1"/>
      </cdr:nvSpPr>
      <cdr:spPr>
        <a:xfrm xmlns:a="http://schemas.openxmlformats.org/drawingml/2006/main">
          <a:off x="3219859" y="2435703"/>
          <a:ext cx="683819" cy="25003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CL" sz="1100" b="1" dirty="0">
              <a:solidFill>
                <a:schemeClr val="bg1"/>
              </a:solidFill>
            </a:rPr>
            <a:t>   59,5%</a:t>
          </a:r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0.48007</cdr:x>
      <cdr:y>0.71529</cdr:y>
    </cdr:from>
    <cdr:to>
      <cdr:x>0.58202</cdr:x>
      <cdr:y>0.78872</cdr:y>
    </cdr:to>
    <cdr:sp macro="" textlink="">
      <cdr:nvSpPr>
        <cdr:cNvPr id="2" name="CuadroTexto 1"/>
        <cdr:cNvSpPr txBox="1"/>
      </cdr:nvSpPr>
      <cdr:spPr>
        <a:xfrm xmlns:a="http://schemas.openxmlformats.org/drawingml/2006/main">
          <a:off x="3219859" y="2435703"/>
          <a:ext cx="683819" cy="25003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CL" sz="1100" b="1" dirty="0">
              <a:solidFill>
                <a:schemeClr val="bg1"/>
              </a:solidFill>
            </a:rPr>
            <a:t>   60%</a:t>
          </a:r>
        </a:p>
      </cdr:txBody>
    </cdr:sp>
  </cdr:relSizeAnchor>
</c:userShapes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0.48007</cdr:x>
      <cdr:y>0.71529</cdr:y>
    </cdr:from>
    <cdr:to>
      <cdr:x>0.58202</cdr:x>
      <cdr:y>0.78872</cdr:y>
    </cdr:to>
    <cdr:sp macro="" textlink="">
      <cdr:nvSpPr>
        <cdr:cNvPr id="2" name="CuadroTexto 1"/>
        <cdr:cNvSpPr txBox="1"/>
      </cdr:nvSpPr>
      <cdr:spPr>
        <a:xfrm xmlns:a="http://schemas.openxmlformats.org/drawingml/2006/main">
          <a:off x="3219859" y="2435703"/>
          <a:ext cx="683819" cy="25003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CL" sz="1100" b="1" dirty="0">
              <a:solidFill>
                <a:schemeClr val="bg1"/>
              </a:solidFill>
            </a:rPr>
            <a:t>   43,9%</a:t>
          </a:r>
        </a:p>
      </cdr:txBody>
    </cdr:sp>
  </cdr:relSizeAnchor>
</c:userShapes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6</xdr:row>
      <xdr:rowOff>0</xdr:rowOff>
    </xdr:from>
    <xdr:to>
      <xdr:col>20</xdr:col>
      <xdr:colOff>537681</xdr:colOff>
      <xdr:row>22</xdr:row>
      <xdr:rowOff>0</xdr:rowOff>
    </xdr:to>
    <xdr:graphicFrame macro="">
      <xdr:nvGraphicFramePr>
        <xdr:cNvPr id="2" name="5 Gráfico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26</xdr:row>
      <xdr:rowOff>0</xdr:rowOff>
    </xdr:from>
    <xdr:to>
      <xdr:col>21</xdr:col>
      <xdr:colOff>571500</xdr:colOff>
      <xdr:row>50</xdr:row>
      <xdr:rowOff>44919</xdr:rowOff>
    </xdr:to>
    <xdr:graphicFrame macro="">
      <xdr:nvGraphicFramePr>
        <xdr:cNvPr id="3" name="6 Gráfico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0</xdr:colOff>
      <xdr:row>53</xdr:row>
      <xdr:rowOff>0</xdr:rowOff>
    </xdr:from>
    <xdr:to>
      <xdr:col>21</xdr:col>
      <xdr:colOff>13063</xdr:colOff>
      <xdr:row>78</xdr:row>
      <xdr:rowOff>123008</xdr:rowOff>
    </xdr:to>
    <xdr:graphicFrame macro="">
      <xdr:nvGraphicFramePr>
        <xdr:cNvPr id="4" name="7 Gráfico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0</xdr:colOff>
      <xdr:row>82</xdr:row>
      <xdr:rowOff>0</xdr:rowOff>
    </xdr:from>
    <xdr:to>
      <xdr:col>20</xdr:col>
      <xdr:colOff>243840</xdr:colOff>
      <xdr:row>106</xdr:row>
      <xdr:rowOff>104503</xdr:rowOff>
    </xdr:to>
    <xdr:graphicFrame macro="">
      <xdr:nvGraphicFramePr>
        <xdr:cNvPr id="5" name="8 Gráfico">
          <a:extLst>
            <a:ext uri="{FF2B5EF4-FFF2-40B4-BE49-F238E27FC236}">
              <a16:creationId xmlns:a16="http://schemas.microsoft.com/office/drawing/2014/main" id="{00000000-0008-0000-0D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0</xdr:colOff>
      <xdr:row>108</xdr:row>
      <xdr:rowOff>0</xdr:rowOff>
    </xdr:from>
    <xdr:to>
      <xdr:col>20</xdr:col>
      <xdr:colOff>191589</xdr:colOff>
      <xdr:row>132</xdr:row>
      <xdr:rowOff>17416</xdr:rowOff>
    </xdr:to>
    <xdr:graphicFrame macro="">
      <xdr:nvGraphicFramePr>
        <xdr:cNvPr id="6" name="9 Gráfico">
          <a:extLst>
            <a:ext uri="{FF2B5EF4-FFF2-40B4-BE49-F238E27FC236}">
              <a16:creationId xmlns:a16="http://schemas.microsoft.com/office/drawing/2014/main" id="{00000000-0008-0000-0D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95250</xdr:colOff>
      <xdr:row>2</xdr:row>
      <xdr:rowOff>178594</xdr:rowOff>
    </xdr:from>
    <xdr:to>
      <xdr:col>23</xdr:col>
      <xdr:colOff>509641</xdr:colOff>
      <xdr:row>28</xdr:row>
      <xdr:rowOff>78984</xdr:rowOff>
    </xdr:to>
    <xdr:graphicFrame macro="">
      <xdr:nvGraphicFramePr>
        <xdr:cNvPr id="4" name="10 Gráfico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24</xdr:col>
      <xdr:colOff>0</xdr:colOff>
      <xdr:row>3</xdr:row>
      <xdr:rowOff>0</xdr:rowOff>
    </xdr:from>
    <xdr:to>
      <xdr:col>34</xdr:col>
      <xdr:colOff>373294</xdr:colOff>
      <xdr:row>27</xdr:row>
      <xdr:rowOff>125144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35</xdr:col>
      <xdr:colOff>0</xdr:colOff>
      <xdr:row>3</xdr:row>
      <xdr:rowOff>0</xdr:rowOff>
    </xdr:from>
    <xdr:to>
      <xdr:col>45</xdr:col>
      <xdr:colOff>650696</xdr:colOff>
      <xdr:row>28</xdr:row>
      <xdr:rowOff>124837</xdr:rowOff>
    </xdr:to>
    <xdr:graphicFrame macro="">
      <xdr:nvGraphicFramePr>
        <xdr:cNvPr id="6" name="5 Gráfico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46</xdr:col>
      <xdr:colOff>0</xdr:colOff>
      <xdr:row>3</xdr:row>
      <xdr:rowOff>0</xdr:rowOff>
    </xdr:from>
    <xdr:to>
      <xdr:col>56</xdr:col>
      <xdr:colOff>65069</xdr:colOff>
      <xdr:row>27</xdr:row>
      <xdr:rowOff>69331</xdr:rowOff>
    </xdr:to>
    <xdr:graphicFrame macro="">
      <xdr:nvGraphicFramePr>
        <xdr:cNvPr id="7" name="9 Gráfico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19</xdr:col>
      <xdr:colOff>0</xdr:colOff>
      <xdr:row>30</xdr:row>
      <xdr:rowOff>0</xdr:rowOff>
    </xdr:from>
    <xdr:to>
      <xdr:col>28</xdr:col>
      <xdr:colOff>570216</xdr:colOff>
      <xdr:row>52</xdr:row>
      <xdr:rowOff>15804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29</xdr:col>
      <xdr:colOff>0</xdr:colOff>
      <xdr:row>30</xdr:row>
      <xdr:rowOff>0</xdr:rowOff>
    </xdr:from>
    <xdr:to>
      <xdr:col>39</xdr:col>
      <xdr:colOff>445214</xdr:colOff>
      <xdr:row>53</xdr:row>
      <xdr:rowOff>61608</xdr:rowOff>
    </xdr:to>
    <xdr:graphicFrame macro="">
      <xdr:nvGraphicFramePr>
        <xdr:cNvPr id="9" name="7 Gráfico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1845468</xdr:colOff>
      <xdr:row>58</xdr:row>
      <xdr:rowOff>152400</xdr:rowOff>
    </xdr:from>
    <xdr:to>
      <xdr:col>6</xdr:col>
      <xdr:colOff>488156</xdr:colOff>
      <xdr:row>73</xdr:row>
      <xdr:rowOff>38100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0.53619</cdr:x>
      <cdr:y>0.73044</cdr:y>
    </cdr:from>
    <cdr:to>
      <cdr:x>0.61677</cdr:x>
      <cdr:y>0.7816</cdr:y>
    </cdr:to>
    <cdr:sp macro="" textlink="">
      <cdr:nvSpPr>
        <cdr:cNvPr id="2" name="CuadroTexto 1"/>
        <cdr:cNvSpPr txBox="1"/>
      </cdr:nvSpPr>
      <cdr:spPr>
        <a:xfrm xmlns:a="http://schemas.openxmlformats.org/drawingml/2006/main">
          <a:off x="4120620" y="3343833"/>
          <a:ext cx="619298" cy="23419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CL" sz="1100" b="1" dirty="0">
              <a:solidFill>
                <a:schemeClr val="bg1"/>
              </a:solidFill>
            </a:rPr>
            <a:t>72,4%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14</xdr:col>
      <xdr:colOff>743225</xdr:colOff>
      <xdr:row>16</xdr:row>
      <xdr:rowOff>166686</xdr:rowOff>
    </xdr:to>
    <xdr:graphicFrame macro="">
      <xdr:nvGraphicFramePr>
        <xdr:cNvPr id="2" name="4 Gráfico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9525</xdr:colOff>
      <xdr:row>17</xdr:row>
      <xdr:rowOff>152400</xdr:rowOff>
    </xdr:from>
    <xdr:to>
      <xdr:col>15</xdr:col>
      <xdr:colOff>435901</xdr:colOff>
      <xdr:row>41</xdr:row>
      <xdr:rowOff>111303</xdr:rowOff>
    </xdr:to>
    <xdr:graphicFrame macro="">
      <xdr:nvGraphicFramePr>
        <xdr:cNvPr id="3" name="3 Gráfico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6</xdr:row>
      <xdr:rowOff>0</xdr:rowOff>
    </xdr:from>
    <xdr:to>
      <xdr:col>7</xdr:col>
      <xdr:colOff>360344</xdr:colOff>
      <xdr:row>30</xdr:row>
      <xdr:rowOff>5831</xdr:rowOff>
    </xdr:to>
    <xdr:graphicFrame macro="">
      <xdr:nvGraphicFramePr>
        <xdr:cNvPr id="4" name="9 Gráfico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0</xdr:colOff>
      <xdr:row>51</xdr:row>
      <xdr:rowOff>0</xdr:rowOff>
    </xdr:from>
    <xdr:to>
      <xdr:col>15</xdr:col>
      <xdr:colOff>621587</xdr:colOff>
      <xdr:row>71</xdr:row>
      <xdr:rowOff>51371</xdr:rowOff>
    </xdr:to>
    <xdr:graphicFrame macro="">
      <xdr:nvGraphicFramePr>
        <xdr:cNvPr id="8" name="2 Gráfico">
          <a:extLst>
            <a:ext uri="{FF2B5EF4-FFF2-40B4-BE49-F238E27FC236}">
              <a16:creationId xmlns:a16="http://schemas.microsoft.com/office/drawing/2014/main" id="{00000000-0008-0000-0C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0</xdr:colOff>
      <xdr:row>73</xdr:row>
      <xdr:rowOff>0</xdr:rowOff>
    </xdr:from>
    <xdr:to>
      <xdr:col>15</xdr:col>
      <xdr:colOff>488022</xdr:colOff>
      <xdr:row>92</xdr:row>
      <xdr:rowOff>25257</xdr:rowOff>
    </xdr:to>
    <xdr:graphicFrame macro="">
      <xdr:nvGraphicFramePr>
        <xdr:cNvPr id="9" name="4 Gráfico">
          <a:extLst>
            <a:ext uri="{FF2B5EF4-FFF2-40B4-BE49-F238E27FC236}">
              <a16:creationId xmlns:a16="http://schemas.microsoft.com/office/drawing/2014/main" id="{00000000-0008-0000-0C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0</xdr:colOff>
      <xdr:row>95</xdr:row>
      <xdr:rowOff>0</xdr:rowOff>
    </xdr:from>
    <xdr:to>
      <xdr:col>16</xdr:col>
      <xdr:colOff>537681</xdr:colOff>
      <xdr:row>118</xdr:row>
      <xdr:rowOff>77485</xdr:rowOff>
    </xdr:to>
    <xdr:graphicFrame macro="">
      <xdr:nvGraphicFramePr>
        <xdr:cNvPr id="10" name="5 Gráfico">
          <a:extLst>
            <a:ext uri="{FF2B5EF4-FFF2-40B4-BE49-F238E27FC236}">
              <a16:creationId xmlns:a16="http://schemas.microsoft.com/office/drawing/2014/main" id="{00000000-0008-0000-0C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124</xdr:row>
      <xdr:rowOff>0</xdr:rowOff>
    </xdr:from>
    <xdr:to>
      <xdr:col>7</xdr:col>
      <xdr:colOff>154862</xdr:colOff>
      <xdr:row>148</xdr:row>
      <xdr:rowOff>51371</xdr:rowOff>
    </xdr:to>
    <xdr:graphicFrame macro="">
      <xdr:nvGraphicFramePr>
        <xdr:cNvPr id="11" name="2 Gráfico">
          <a:extLst>
            <a:ext uri="{FF2B5EF4-FFF2-40B4-BE49-F238E27FC236}">
              <a16:creationId xmlns:a16="http://schemas.microsoft.com/office/drawing/2014/main" id="{00000000-0008-0000-0C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80963</xdr:colOff>
      <xdr:row>187</xdr:row>
      <xdr:rowOff>121443</xdr:rowOff>
    </xdr:from>
    <xdr:to>
      <xdr:col>23</xdr:col>
      <xdr:colOff>702550</xdr:colOff>
      <xdr:row>211</xdr:row>
      <xdr:rowOff>172814</xdr:rowOff>
    </xdr:to>
    <xdr:graphicFrame macro="">
      <xdr:nvGraphicFramePr>
        <xdr:cNvPr id="14" name="2 Gráfico">
          <a:extLst>
            <a:ext uri="{FF2B5EF4-FFF2-40B4-BE49-F238E27FC236}">
              <a16:creationId xmlns:a16="http://schemas.microsoft.com/office/drawing/2014/main" id="{00000000-0008-0000-0C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0</xdr:colOff>
      <xdr:row>208</xdr:row>
      <xdr:rowOff>0</xdr:rowOff>
    </xdr:from>
    <xdr:to>
      <xdr:col>7</xdr:col>
      <xdr:colOff>21297</xdr:colOff>
      <xdr:row>227</xdr:row>
      <xdr:rowOff>25257</xdr:rowOff>
    </xdr:to>
    <xdr:graphicFrame macro="">
      <xdr:nvGraphicFramePr>
        <xdr:cNvPr id="15" name="4 Gráfico">
          <a:extLst>
            <a:ext uri="{FF2B5EF4-FFF2-40B4-BE49-F238E27FC236}">
              <a16:creationId xmlns:a16="http://schemas.microsoft.com/office/drawing/2014/main" id="{00000000-0008-0000-0C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10</xdr:col>
      <xdr:colOff>400050</xdr:colOff>
      <xdr:row>147</xdr:row>
      <xdr:rowOff>95250</xdr:rowOff>
    </xdr:from>
    <xdr:to>
      <xdr:col>20</xdr:col>
      <xdr:colOff>259637</xdr:colOff>
      <xdr:row>165</xdr:row>
      <xdr:rowOff>718121</xdr:rowOff>
    </xdr:to>
    <xdr:graphicFrame macro="">
      <xdr:nvGraphicFramePr>
        <xdr:cNvPr id="12" name="2 Gráfico">
          <a:extLst>
            <a:ext uri="{FF2B5EF4-FFF2-40B4-BE49-F238E27FC236}">
              <a16:creationId xmlns:a16="http://schemas.microsoft.com/office/drawing/2014/main" id="{00000000-0008-0000-0C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0</xdr:colOff>
      <xdr:row>178</xdr:row>
      <xdr:rowOff>0</xdr:rowOff>
    </xdr:from>
    <xdr:to>
      <xdr:col>6</xdr:col>
      <xdr:colOff>276500</xdr:colOff>
      <xdr:row>195</xdr:row>
      <xdr:rowOff>166686</xdr:rowOff>
    </xdr:to>
    <xdr:graphicFrame macro="">
      <xdr:nvGraphicFramePr>
        <xdr:cNvPr id="13" name="4 Gráfico">
          <a:extLst>
            <a:ext uri="{FF2B5EF4-FFF2-40B4-BE49-F238E27FC236}">
              <a16:creationId xmlns:a16="http://schemas.microsoft.com/office/drawing/2014/main" id="{00000000-0008-0000-0C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7</xdr:col>
      <xdr:colOff>0</xdr:colOff>
      <xdr:row>178</xdr:row>
      <xdr:rowOff>0</xdr:rowOff>
    </xdr:from>
    <xdr:to>
      <xdr:col>15</xdr:col>
      <xdr:colOff>743225</xdr:colOff>
      <xdr:row>195</xdr:row>
      <xdr:rowOff>166686</xdr:rowOff>
    </xdr:to>
    <xdr:graphicFrame macro="">
      <xdr:nvGraphicFramePr>
        <xdr:cNvPr id="16" name="4 Gráfico">
          <a:extLst>
            <a:ext uri="{FF2B5EF4-FFF2-40B4-BE49-F238E27FC236}">
              <a16:creationId xmlns:a16="http://schemas.microsoft.com/office/drawing/2014/main" id="{00000000-0008-0000-0C00-00001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17</xdr:col>
      <xdr:colOff>0</xdr:colOff>
      <xdr:row>178</xdr:row>
      <xdr:rowOff>0</xdr:rowOff>
    </xdr:from>
    <xdr:to>
      <xdr:col>25</xdr:col>
      <xdr:colOff>743225</xdr:colOff>
      <xdr:row>195</xdr:row>
      <xdr:rowOff>166686</xdr:rowOff>
    </xdr:to>
    <xdr:graphicFrame macro="">
      <xdr:nvGraphicFramePr>
        <xdr:cNvPr id="17" name="4 Gráfico">
          <a:extLst>
            <a:ext uri="{FF2B5EF4-FFF2-40B4-BE49-F238E27FC236}">
              <a16:creationId xmlns:a16="http://schemas.microsoft.com/office/drawing/2014/main" id="{00000000-0008-0000-0C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27</xdr:col>
      <xdr:colOff>0</xdr:colOff>
      <xdr:row>178</xdr:row>
      <xdr:rowOff>0</xdr:rowOff>
    </xdr:from>
    <xdr:to>
      <xdr:col>35</xdr:col>
      <xdr:colOff>743225</xdr:colOff>
      <xdr:row>195</xdr:row>
      <xdr:rowOff>166686</xdr:rowOff>
    </xdr:to>
    <xdr:graphicFrame macro="">
      <xdr:nvGraphicFramePr>
        <xdr:cNvPr id="18" name="4 Gráfico">
          <a:extLst>
            <a:ext uri="{FF2B5EF4-FFF2-40B4-BE49-F238E27FC236}">
              <a16:creationId xmlns:a16="http://schemas.microsoft.com/office/drawing/2014/main" id="{00000000-0008-0000-0C00-00001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0.48007</cdr:x>
      <cdr:y>0.71529</cdr:y>
    </cdr:from>
    <cdr:to>
      <cdr:x>0.58202</cdr:x>
      <cdr:y>0.78872</cdr:y>
    </cdr:to>
    <cdr:sp macro="" textlink="">
      <cdr:nvSpPr>
        <cdr:cNvPr id="2" name="CuadroTexto 1"/>
        <cdr:cNvSpPr txBox="1"/>
      </cdr:nvSpPr>
      <cdr:spPr>
        <a:xfrm xmlns:a="http://schemas.openxmlformats.org/drawingml/2006/main">
          <a:off x="3219859" y="2435703"/>
          <a:ext cx="683819" cy="25003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CL" sz="1100" b="1" dirty="0">
              <a:solidFill>
                <a:schemeClr val="bg1"/>
              </a:solidFill>
            </a:rPr>
            <a:t>   60%</a:t>
          </a: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0.49123</cdr:x>
      <cdr:y>0.74933</cdr:y>
    </cdr:from>
    <cdr:to>
      <cdr:x>0.58972</cdr:x>
      <cdr:y>0.83133</cdr:y>
    </cdr:to>
    <cdr:sp macro="" textlink="">
      <cdr:nvSpPr>
        <cdr:cNvPr id="5" name="CuadroTexto 1"/>
        <cdr:cNvSpPr txBox="1"/>
      </cdr:nvSpPr>
      <cdr:spPr>
        <a:xfrm xmlns:a="http://schemas.openxmlformats.org/drawingml/2006/main">
          <a:off x="3578320" y="3395131"/>
          <a:ext cx="717438" cy="37153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CL" sz="1100" b="1" dirty="0">
              <a:solidFill>
                <a:schemeClr val="bg1"/>
              </a:solidFill>
            </a:rPr>
            <a:t>42,4%</a:t>
          </a: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0.53619</cdr:x>
      <cdr:y>0.73044</cdr:y>
    </cdr:from>
    <cdr:to>
      <cdr:x>0.61677</cdr:x>
      <cdr:y>0.7816</cdr:y>
    </cdr:to>
    <cdr:sp macro="" textlink="">
      <cdr:nvSpPr>
        <cdr:cNvPr id="2" name="CuadroTexto 1"/>
        <cdr:cNvSpPr txBox="1"/>
      </cdr:nvSpPr>
      <cdr:spPr>
        <a:xfrm xmlns:a="http://schemas.openxmlformats.org/drawingml/2006/main">
          <a:off x="4120620" y="3343833"/>
          <a:ext cx="619298" cy="23419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CL" sz="1100" b="1" dirty="0">
              <a:solidFill>
                <a:schemeClr val="bg1"/>
              </a:solidFill>
            </a:rPr>
            <a:t>76,5%</a:t>
          </a: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0.84792</cdr:x>
      <cdr:y>0.10243</cdr:y>
    </cdr:from>
    <cdr:to>
      <cdr:x>0.9375</cdr:x>
      <cdr:y>0.22743</cdr:y>
    </cdr:to>
    <cdr:sp macro="" textlink="">
      <cdr:nvSpPr>
        <cdr:cNvPr id="2" name="CuadroTexto 1"/>
        <cdr:cNvSpPr txBox="1"/>
      </cdr:nvSpPr>
      <cdr:spPr>
        <a:xfrm xmlns:a="http://schemas.openxmlformats.org/drawingml/2006/main">
          <a:off x="3876675" y="280988"/>
          <a:ext cx="409575" cy="3429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s-CL" sz="1100"/>
        </a:p>
      </cdr:txBody>
    </cdr:sp>
  </cdr:relSizeAnchor>
  <cdr:relSizeAnchor xmlns:cdr="http://schemas.openxmlformats.org/drawingml/2006/chartDrawing">
    <cdr:from>
      <cdr:x>0.23966</cdr:x>
      <cdr:y>0.80139</cdr:y>
    </cdr:from>
    <cdr:to>
      <cdr:x>0.45007</cdr:x>
      <cdr:y>0.90491</cdr:y>
    </cdr:to>
    <cdr:sp macro="" textlink="">
      <cdr:nvSpPr>
        <cdr:cNvPr id="3" name="CuadroTexto 2"/>
        <cdr:cNvSpPr txBox="1"/>
      </cdr:nvSpPr>
      <cdr:spPr>
        <a:xfrm xmlns:a="http://schemas.openxmlformats.org/drawingml/2006/main">
          <a:off x="1792550" y="3705134"/>
          <a:ext cx="1573780" cy="4786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s-CL" sz="1050" b="0" dirty="0">
              <a:solidFill>
                <a:schemeClr val="bg1"/>
              </a:solidFill>
            </a:rPr>
            <a:t>MM$70.050</a:t>
          </a:r>
          <a:endParaRPr lang="es-CL" sz="1100" b="0" dirty="0">
            <a:solidFill>
              <a:schemeClr val="bg1"/>
            </a:solidFill>
          </a:endParaRPr>
        </a:p>
      </cdr:txBody>
    </cdr:sp>
  </cdr:relSizeAnchor>
  <cdr:relSizeAnchor xmlns:cdr="http://schemas.openxmlformats.org/drawingml/2006/chartDrawing">
    <cdr:from>
      <cdr:x>0.49926</cdr:x>
      <cdr:y>0.76727</cdr:y>
    </cdr:from>
    <cdr:to>
      <cdr:x>0.71905</cdr:x>
      <cdr:y>0.86744</cdr:y>
    </cdr:to>
    <cdr:sp macro="" textlink="">
      <cdr:nvSpPr>
        <cdr:cNvPr id="4" name="CuadroTexto 1"/>
        <cdr:cNvSpPr txBox="1"/>
      </cdr:nvSpPr>
      <cdr:spPr>
        <a:xfrm xmlns:a="http://schemas.openxmlformats.org/drawingml/2006/main">
          <a:off x="3734233" y="3547363"/>
          <a:ext cx="1643938" cy="46312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s-CL" sz="1050" b="0" dirty="0">
              <a:solidFill>
                <a:schemeClr val="bg1"/>
              </a:solidFill>
            </a:rPr>
            <a:t>MM$95.031</a:t>
          </a: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0.13055</cdr:x>
      <cdr:y>0.78908</cdr:y>
    </cdr:from>
    <cdr:to>
      <cdr:x>0.26461</cdr:x>
      <cdr:y>0.85156</cdr:y>
    </cdr:to>
    <cdr:sp macro="" textlink="">
      <cdr:nvSpPr>
        <cdr:cNvPr id="2" name="CuadroTexto 1"/>
        <cdr:cNvSpPr txBox="1"/>
      </cdr:nvSpPr>
      <cdr:spPr>
        <a:xfrm xmlns:a="http://schemas.openxmlformats.org/drawingml/2006/main">
          <a:off x="862328" y="2164604"/>
          <a:ext cx="885545" cy="17139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CL" sz="1000" b="0">
              <a:solidFill>
                <a:schemeClr val="bg1"/>
              </a:solidFill>
            </a:rPr>
            <a:t>MM$ 39.884</a:t>
          </a:r>
        </a:p>
      </cdr:txBody>
    </cdr:sp>
  </cdr:relSizeAnchor>
  <cdr:relSizeAnchor xmlns:cdr="http://schemas.openxmlformats.org/drawingml/2006/chartDrawing">
    <cdr:from>
      <cdr:x>0.28262</cdr:x>
      <cdr:y>0.78212</cdr:y>
    </cdr:from>
    <cdr:to>
      <cdr:x>0.42141</cdr:x>
      <cdr:y>0.88194</cdr:y>
    </cdr:to>
    <cdr:sp macro="" textlink="">
      <cdr:nvSpPr>
        <cdr:cNvPr id="3" name="CuadroTexto 1"/>
        <cdr:cNvSpPr txBox="1"/>
      </cdr:nvSpPr>
      <cdr:spPr>
        <a:xfrm xmlns:a="http://schemas.openxmlformats.org/drawingml/2006/main">
          <a:off x="1866871" y="2145510"/>
          <a:ext cx="916790" cy="27382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CL" sz="1000" b="0">
              <a:solidFill>
                <a:schemeClr val="bg1"/>
              </a:solidFill>
            </a:rPr>
            <a:t>MM$ 56.363</a:t>
          </a:r>
        </a:p>
      </cdr:txBody>
    </cdr:sp>
  </cdr:relSizeAnchor>
  <cdr:relSizeAnchor xmlns:cdr="http://schemas.openxmlformats.org/drawingml/2006/chartDrawing">
    <cdr:from>
      <cdr:x>0.53693</cdr:x>
      <cdr:y>0.7681</cdr:y>
    </cdr:from>
    <cdr:to>
      <cdr:x>0.67751</cdr:x>
      <cdr:y>0.82422</cdr:y>
    </cdr:to>
    <cdr:sp macro="" textlink="">
      <cdr:nvSpPr>
        <cdr:cNvPr id="6" name="CuadroTexto 1"/>
        <cdr:cNvSpPr txBox="1"/>
      </cdr:nvSpPr>
      <cdr:spPr>
        <a:xfrm xmlns:a="http://schemas.openxmlformats.org/drawingml/2006/main">
          <a:off x="3944313" y="2799546"/>
          <a:ext cx="1032704" cy="20454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CL" sz="1000" b="0" dirty="0">
              <a:solidFill>
                <a:schemeClr val="bg1"/>
              </a:solidFill>
            </a:rPr>
            <a:t>MM$ 30.166</a:t>
          </a:r>
        </a:p>
      </cdr:txBody>
    </cdr:sp>
  </cdr:relSizeAnchor>
  <cdr:relSizeAnchor xmlns:cdr="http://schemas.openxmlformats.org/drawingml/2006/chartDrawing">
    <cdr:from>
      <cdr:x>0.68317</cdr:x>
      <cdr:y>0.77374</cdr:y>
    </cdr:from>
    <cdr:to>
      <cdr:x>0.83734</cdr:x>
      <cdr:y>0.83855</cdr:y>
    </cdr:to>
    <cdr:sp macro="" textlink="">
      <cdr:nvSpPr>
        <cdr:cNvPr id="7" name="CuadroTexto 1"/>
        <cdr:cNvSpPr txBox="1"/>
      </cdr:nvSpPr>
      <cdr:spPr>
        <a:xfrm xmlns:a="http://schemas.openxmlformats.org/drawingml/2006/main">
          <a:off x="5018552" y="2820094"/>
          <a:ext cx="1132536" cy="23621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CL" sz="1000" b="0" dirty="0">
              <a:solidFill>
                <a:schemeClr val="bg1"/>
              </a:solidFill>
            </a:rPr>
            <a:t>  MM$ 38.669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iego.hernandez/AppData/Local/Microsoft/Windows/Temporary%20Internet%20Files/Content.Outlook/173U9REX/12.2.%20Reporte%20Ejecuci&#243;n%20al%204.01%202019%20ssnnpp%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rosana.maureira\escritorio\2019\Reporte%20de%20Ejecuci&#243;n\2.0.%20SSNNPP%2028.02.19-%20Estado%20de%20Ejecucion%20Presupuestaria%20Insumo%20-%2011marzo201915_45_28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Gr&#225;ficos%202023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gr&#225;ficos%20comparados%202023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"/>
      <sheetName val="P01"/>
      <sheetName val="P02"/>
      <sheetName val="Gráficos 2018"/>
      <sheetName val="P01 17-18"/>
      <sheetName val="P02 17-18"/>
      <sheetName val="gráficos comparados"/>
      <sheetName val="P02 (2)"/>
      <sheetName val="T 087"/>
      <sheetName val="26,12"/>
      <sheetName val="2112"/>
      <sheetName val="30,11"/>
      <sheetName val="31,08,18 cierre"/>
      <sheetName val="31,05"/>
      <sheetName val="30,06"/>
      <sheetName val="T087 INSUMOS"/>
      <sheetName val="Transferencias Insumos"/>
      <sheetName val="T087"/>
      <sheetName val="Sheet1 (3)"/>
      <sheetName val="base concep pptario"/>
      <sheetName val="PARA P01"/>
      <sheetName val="PARA P02"/>
      <sheetName val="Hoja5"/>
      <sheetName val="08,03(2)"/>
      <sheetName val="31,01"/>
      <sheetName val="Hoja2"/>
      <sheetName val="06,03"/>
      <sheetName val="REGIONES"/>
      <sheetName val="TD 087"/>
      <sheetName val="Hoja8"/>
      <sheetName val="28,12"/>
      <sheetName val="02,01"/>
      <sheetName val="03,01"/>
      <sheetName val="04,01"/>
      <sheetName val="ssnnpp"/>
      <sheetName val="Hoja7"/>
      <sheetName val="24,12"/>
      <sheetName val="DIAS D"/>
      <sheetName val="26,07"/>
      <sheetName val="31,07"/>
      <sheetName val="30,09"/>
      <sheetName val="28,09"/>
      <sheetName val="Sheet1 (2)"/>
      <sheetName val="31,08 1600"/>
      <sheetName val="30,4 mens"/>
      <sheetName val="30,04,18"/>
      <sheetName val="300418final"/>
      <sheetName val="TD 087 (2)"/>
      <sheetName val="TD PARA HACER INFORME EJECU (2"/>
      <sheetName val="TD PARA HACER  EJECUCIÓN ssnnpp"/>
      <sheetName val="18,12"/>
      <sheetName val="17,12,18"/>
      <sheetName val="Sheet1"/>
      <sheetName val="hoja trabajo 087"/>
      <sheetName val="ajuste carga masiva"/>
      <sheetName val="TD PARA HACER REGIONES"/>
      <sheetName val="31,10"/>
      <sheetName val="29,11"/>
      <sheetName val="TD PARA EJ REGIONES"/>
      <sheetName val="COMPARATIVO REGIONES "/>
    </sheetNames>
    <sheetDataSet>
      <sheetData sheetId="0" refreshError="1">
        <row r="8">
          <cell r="B8">
            <v>46562947.361000001</v>
          </cell>
          <cell r="C8">
            <v>42110809.699999996</v>
          </cell>
          <cell r="D8">
            <v>4452137.6610000012</v>
          </cell>
          <cell r="E8">
            <v>41037109.013000004</v>
          </cell>
          <cell r="F8">
            <v>1073700.6869999999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28,02"/>
      <sheetName val="2019 td ejec"/>
      <sheetName val="P03"/>
      <sheetName val="P02"/>
      <sheetName val="P01"/>
      <sheetName val="03-01"/>
      <sheetName val="03-02"/>
      <sheetName val="03-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4">
          <cell r="C4">
            <v>24802027771</v>
          </cell>
        </row>
        <row r="37">
          <cell r="C37">
            <v>52486641460</v>
          </cell>
          <cell r="D37">
            <v>8129229171</v>
          </cell>
          <cell r="E37">
            <v>5797284689</v>
          </cell>
        </row>
      </sheetData>
      <sheetData sheetId="6" refreshError="1"/>
      <sheetData sheetId="7" refreshError="1"/>
      <sheetData sheetId="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áficos 2023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áficos comparados 2023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.xml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hyperlink" Target="https://sb.sigfe.gob.cl/sigfe/faces/task-flow-exceso-flexibilidad/distribucionLeyPresupuestos?_adf.ctrl-state=8izcqljnp_105" TargetMode="External"/><Relationship Id="rId6" Type="http://schemas.openxmlformats.org/officeDocument/2006/relationships/control" Target="../activeX/activeX2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L29"/>
  <sheetViews>
    <sheetView showGridLines="0" tabSelected="1" zoomScale="90" zoomScaleNormal="90" workbookViewId="0">
      <selection activeCell="B2" sqref="B2:J2"/>
    </sheetView>
  </sheetViews>
  <sheetFormatPr baseColWidth="10" defaultRowHeight="15" x14ac:dyDescent="0.25"/>
  <cols>
    <col min="1" max="1" width="5.5703125" customWidth="1"/>
    <col min="2" max="2" width="49.5703125" customWidth="1"/>
    <col min="3" max="3" width="18.42578125" hidden="1" customWidth="1"/>
    <col min="4" max="5" width="16.28515625" customWidth="1"/>
    <col min="6" max="6" width="16.7109375" customWidth="1"/>
    <col min="7" max="7" width="16.28515625" customWidth="1"/>
    <col min="8" max="8" width="18.28515625" customWidth="1"/>
    <col min="9" max="10" width="16.28515625" customWidth="1"/>
    <col min="11" max="12" width="15.7109375" hidden="1" customWidth="1"/>
  </cols>
  <sheetData>
    <row r="2" spans="2:12" x14ac:dyDescent="0.25">
      <c r="B2" s="286" t="s">
        <v>84</v>
      </c>
      <c r="C2" s="286"/>
      <c r="D2" s="286"/>
      <c r="E2" s="286"/>
      <c r="F2" s="286"/>
      <c r="G2" s="286"/>
      <c r="H2" s="286"/>
      <c r="I2" s="286"/>
      <c r="J2" s="286"/>
    </row>
    <row r="3" spans="2:12" x14ac:dyDescent="0.25">
      <c r="B3" s="287" t="s">
        <v>316</v>
      </c>
      <c r="C3" s="287"/>
      <c r="D3" s="287"/>
      <c r="E3" s="287"/>
      <c r="F3" s="287"/>
      <c r="G3" s="287"/>
      <c r="H3" s="287"/>
      <c r="I3" s="287"/>
      <c r="J3" s="287"/>
    </row>
    <row r="6" spans="2:12" ht="30" x14ac:dyDescent="0.25">
      <c r="B6" s="67" t="s">
        <v>91</v>
      </c>
      <c r="C6" s="67" t="s">
        <v>321</v>
      </c>
      <c r="D6" s="67" t="s">
        <v>307</v>
      </c>
      <c r="E6" s="67" t="s">
        <v>3</v>
      </c>
      <c r="F6" s="67" t="s">
        <v>4</v>
      </c>
      <c r="G6" s="67" t="s">
        <v>5</v>
      </c>
      <c r="H6" s="67" t="s">
        <v>6</v>
      </c>
      <c r="I6" s="67" t="s">
        <v>7</v>
      </c>
      <c r="J6" s="67" t="s">
        <v>8</v>
      </c>
      <c r="K6" s="67" t="s">
        <v>318</v>
      </c>
      <c r="L6" s="67" t="s">
        <v>319</v>
      </c>
    </row>
    <row r="7" spans="2:12" hidden="1" x14ac:dyDescent="0.25">
      <c r="B7" s="98" t="s">
        <v>270</v>
      </c>
      <c r="C7" s="44">
        <f t="shared" ref="C7:H7" si="0">SUM(C8:C9)</f>
        <v>167992763.96799999</v>
      </c>
      <c r="D7" s="44">
        <f t="shared" si="0"/>
        <v>178167922.99900001</v>
      </c>
      <c r="E7" s="44">
        <f t="shared" si="0"/>
        <v>143673621.80500001</v>
      </c>
      <c r="F7" s="44">
        <f t="shared" si="0"/>
        <v>34494301.194000006</v>
      </c>
      <c r="G7" s="44">
        <f t="shared" si="0"/>
        <v>143673621.80500001</v>
      </c>
      <c r="H7" s="44">
        <f t="shared" si="0"/>
        <v>0</v>
      </c>
      <c r="I7" s="45">
        <f>+E7/D7</f>
        <v>0.80639443613992401</v>
      </c>
      <c r="J7" s="45">
        <f>+G7/D7</f>
        <v>0.80639443613992401</v>
      </c>
      <c r="K7" s="44">
        <f>SUM(K8:K9)</f>
        <v>141418857.91800001</v>
      </c>
      <c r="L7" s="44">
        <f>SUM(L8:L9)</f>
        <v>2254763.8870000001</v>
      </c>
    </row>
    <row r="8" spans="2:12" hidden="1" x14ac:dyDescent="0.25">
      <c r="B8" s="51" t="s">
        <v>86</v>
      </c>
      <c r="C8" s="46">
        <f>'01-01'!C25</f>
        <v>117158045.984</v>
      </c>
      <c r="D8" s="46">
        <f>'01-01'!D25</f>
        <v>124771120.00000003</v>
      </c>
      <c r="E8" s="46">
        <f>'01-01'!E25</f>
        <v>93077239.982000008</v>
      </c>
      <c r="F8" s="46">
        <f>'01-01'!F25</f>
        <v>31693880.018000018</v>
      </c>
      <c r="G8" s="46">
        <f>'01-01'!G25</f>
        <v>93077239.982000008</v>
      </c>
      <c r="H8" s="46">
        <f>'01-01'!H25</f>
        <v>0</v>
      </c>
      <c r="I8" s="47">
        <f>'01-01'!I25</f>
        <v>0.74598384611759505</v>
      </c>
      <c r="J8" s="47">
        <f>'01-01'!J25</f>
        <v>0.74598384611759505</v>
      </c>
      <c r="K8" s="46">
        <f>'01-01'!K25</f>
        <v>90822476.095000014</v>
      </c>
      <c r="L8" s="46">
        <f>'01-01'!L25</f>
        <v>2254763.8870000001</v>
      </c>
    </row>
    <row r="9" spans="2:12" hidden="1" x14ac:dyDescent="0.25">
      <c r="B9" s="52" t="s">
        <v>87</v>
      </c>
      <c r="C9" s="46">
        <f>'01-02'!C12</f>
        <v>50834717.983999997</v>
      </c>
      <c r="D9" s="46">
        <f>'01-02'!D12</f>
        <v>53396802.998999998</v>
      </c>
      <c r="E9" s="46">
        <f>'01-02'!E12</f>
        <v>50596381.823000006</v>
      </c>
      <c r="F9" s="46">
        <f>'01-02'!F12</f>
        <v>2800421.1759999916</v>
      </c>
      <c r="G9" s="46">
        <f>'01-02'!G12</f>
        <v>50596381.823000006</v>
      </c>
      <c r="H9" s="46">
        <f>'01-02'!H12</f>
        <v>0</v>
      </c>
      <c r="I9" s="47">
        <f>'01-02'!I12</f>
        <v>0.94755451602500551</v>
      </c>
      <c r="J9" s="47">
        <f>'01-02'!J12</f>
        <v>0.94755451602500551</v>
      </c>
      <c r="K9" s="46">
        <f>'01-02'!K12</f>
        <v>50596381.822999999</v>
      </c>
      <c r="L9" s="46">
        <f>'01-02'!L12</f>
        <v>0</v>
      </c>
    </row>
    <row r="10" spans="2:12" x14ac:dyDescent="0.25">
      <c r="B10" s="98" t="s">
        <v>94</v>
      </c>
      <c r="C10" s="44">
        <f t="shared" ref="C10:H10" si="1">SUM(C11:C12)</f>
        <v>167992764</v>
      </c>
      <c r="D10" s="44">
        <f t="shared" si="1"/>
        <v>178167923.00000003</v>
      </c>
      <c r="E10" s="44">
        <f t="shared" si="1"/>
        <v>173651526.11199999</v>
      </c>
      <c r="F10" s="44">
        <f t="shared" si="1"/>
        <v>4516396.8880000236</v>
      </c>
      <c r="G10" s="44">
        <f t="shared" si="1"/>
        <v>173319213.79799998</v>
      </c>
      <c r="H10" s="44">
        <f t="shared" si="1"/>
        <v>332312.31400001352</v>
      </c>
      <c r="I10" s="45">
        <f>+E10/D10</f>
        <v>0.97465089780498793</v>
      </c>
      <c r="J10" s="45">
        <f>+G10/D10</f>
        <v>0.97278573426485948</v>
      </c>
      <c r="K10" s="44">
        <f>SUM(K11:K12)</f>
        <v>158546812.162</v>
      </c>
      <c r="L10" s="44">
        <f>SUM(L11:L12)</f>
        <v>14772401.521000002</v>
      </c>
    </row>
    <row r="11" spans="2:12" x14ac:dyDescent="0.25">
      <c r="B11" s="51" t="s">
        <v>86</v>
      </c>
      <c r="C11" s="46">
        <f>'01-01'!C81</f>
        <v>117158046</v>
      </c>
      <c r="D11" s="46">
        <f>'01-01'!D81</f>
        <v>124771120.00000003</v>
      </c>
      <c r="E11" s="46">
        <f>'01-01'!E81</f>
        <v>121519061.57499999</v>
      </c>
      <c r="F11" s="46">
        <f>'01-01'!F81</f>
        <v>3252058.4250000333</v>
      </c>
      <c r="G11" s="46">
        <f>'01-01'!G81</f>
        <v>121215682.064</v>
      </c>
      <c r="H11" s="46">
        <f>'01-01'!H81</f>
        <v>303379.5110000039</v>
      </c>
      <c r="I11" s="47">
        <f>+E11/D11</f>
        <v>0.97393580802192015</v>
      </c>
      <c r="J11" s="47">
        <f>+G11/D11</f>
        <v>0.97150431978169283</v>
      </c>
      <c r="K11" s="46">
        <f>'01-01'!K81</f>
        <v>108239153.76200001</v>
      </c>
      <c r="L11" s="46">
        <f>'01-01'!L81</f>
        <v>12976528.187000001</v>
      </c>
    </row>
    <row r="12" spans="2:12" x14ac:dyDescent="0.25">
      <c r="B12" s="52" t="s">
        <v>87</v>
      </c>
      <c r="C12" s="46">
        <f>'01-02'!C37</f>
        <v>50834718</v>
      </c>
      <c r="D12" s="46">
        <f>'01-02'!D37</f>
        <v>53396803</v>
      </c>
      <c r="E12" s="46">
        <f>'01-02'!E37</f>
        <v>52132464.537000008</v>
      </c>
      <c r="F12" s="46">
        <f>'01-02'!F37</f>
        <v>1264338.4629999902</v>
      </c>
      <c r="G12" s="46">
        <f>'01-02'!G37</f>
        <v>52103531.733999997</v>
      </c>
      <c r="H12" s="46">
        <f>'01-02'!H37</f>
        <v>28932.803000009619</v>
      </c>
      <c r="I12" s="47">
        <f t="shared" ref="I12:I19" si="2">+E12/D12</f>
        <v>0.97632183217036439</v>
      </c>
      <c r="J12" s="47">
        <f t="shared" ref="J12:J19" si="3">+G12/D12</f>
        <v>0.97577998694041657</v>
      </c>
      <c r="K12" s="46">
        <f>'01-02'!K37</f>
        <v>50307658.399999991</v>
      </c>
      <c r="L12" s="46">
        <f>'01-02'!L37</f>
        <v>1795873.334</v>
      </c>
    </row>
    <row r="13" spans="2:12" x14ac:dyDescent="0.25">
      <c r="B13" s="98" t="s">
        <v>104</v>
      </c>
      <c r="C13" s="44"/>
      <c r="D13" s="44">
        <f>+D14</f>
        <v>3265555</v>
      </c>
      <c r="E13" s="44">
        <f>+E14</f>
        <v>3253743</v>
      </c>
      <c r="F13" s="44">
        <f>+F14</f>
        <v>13312</v>
      </c>
      <c r="G13" s="44">
        <f>+G14</f>
        <v>3253743</v>
      </c>
      <c r="H13" s="44">
        <f>+H14</f>
        <v>0</v>
      </c>
      <c r="I13" s="285">
        <f t="shared" si="2"/>
        <v>0.99638285069459864</v>
      </c>
      <c r="J13" s="285">
        <f t="shared" si="3"/>
        <v>0.99638285069459864</v>
      </c>
    </row>
    <row r="14" spans="2:12" x14ac:dyDescent="0.25">
      <c r="B14" s="51" t="s">
        <v>92</v>
      </c>
      <c r="C14" s="284"/>
      <c r="D14" s="46">
        <f>+'02-01'!C47</f>
        <v>3265555</v>
      </c>
      <c r="E14" s="46">
        <f>+'02-01'!D47</f>
        <v>3253743</v>
      </c>
      <c r="F14" s="46">
        <f>+'02-01'!E47</f>
        <v>13312</v>
      </c>
      <c r="G14" s="46">
        <f>+'02-01'!F47</f>
        <v>3253743</v>
      </c>
      <c r="H14" s="46">
        <f>+'02-01'!G47</f>
        <v>0</v>
      </c>
      <c r="I14" s="47">
        <f t="shared" si="2"/>
        <v>0.99638285069459864</v>
      </c>
      <c r="J14" s="47">
        <f t="shared" si="3"/>
        <v>0.99638285069459864</v>
      </c>
    </row>
    <row r="15" spans="2:12" x14ac:dyDescent="0.25">
      <c r="B15" s="98" t="s">
        <v>105</v>
      </c>
      <c r="C15" s="44"/>
      <c r="D15" s="44">
        <f>SUM(D16:D19)</f>
        <v>99817630</v>
      </c>
      <c r="E15" s="44">
        <f t="shared" ref="E15:H15" si="4">SUM(E16:E19)</f>
        <v>98293700</v>
      </c>
      <c r="F15" s="44">
        <f t="shared" si="4"/>
        <v>1523930</v>
      </c>
      <c r="G15" s="44">
        <f t="shared" si="4"/>
        <v>98290768</v>
      </c>
      <c r="H15" s="44">
        <f t="shared" si="4"/>
        <v>2932</v>
      </c>
      <c r="I15" s="285">
        <f t="shared" si="2"/>
        <v>0.98473285731187965</v>
      </c>
      <c r="J15" s="285">
        <f t="shared" si="3"/>
        <v>0.98470348374330263</v>
      </c>
    </row>
    <row r="16" spans="2:12" x14ac:dyDescent="0.25">
      <c r="B16" s="51" t="s">
        <v>88</v>
      </c>
      <c r="C16" s="284"/>
      <c r="D16" s="46">
        <f>+'03-01'!C74</f>
        <v>75594906</v>
      </c>
      <c r="E16" s="46">
        <f>+'03-01'!D74</f>
        <v>74553320</v>
      </c>
      <c r="F16" s="46">
        <f>+'03-01'!E74</f>
        <v>1041586</v>
      </c>
      <c r="G16" s="46">
        <f>+'03-01'!F74</f>
        <v>74550388</v>
      </c>
      <c r="H16" s="46">
        <f>+'03-01'!G74</f>
        <v>2932</v>
      </c>
      <c r="I16" s="47">
        <f t="shared" si="2"/>
        <v>0.98622147899753987</v>
      </c>
      <c r="J16" s="47">
        <f t="shared" si="3"/>
        <v>0.98618269331534059</v>
      </c>
    </row>
    <row r="17" spans="2:10" x14ac:dyDescent="0.25">
      <c r="B17" s="51" t="s">
        <v>89</v>
      </c>
      <c r="C17" s="284"/>
      <c r="D17" s="46">
        <f>+'03-02'!C37</f>
        <v>7831205</v>
      </c>
      <c r="E17" s="46">
        <f>+'03-02'!D37</f>
        <v>7773278</v>
      </c>
      <c r="F17" s="46">
        <f>+'03-02'!E37</f>
        <v>57927</v>
      </c>
      <c r="G17" s="46">
        <f>+'03-02'!F37</f>
        <v>7773278</v>
      </c>
      <c r="H17" s="46">
        <f>+'03-02'!G37</f>
        <v>0</v>
      </c>
      <c r="I17" s="47">
        <f t="shared" si="2"/>
        <v>0.9926030540638382</v>
      </c>
      <c r="J17" s="47">
        <f t="shared" si="3"/>
        <v>0.9926030540638382</v>
      </c>
    </row>
    <row r="18" spans="2:10" x14ac:dyDescent="0.25">
      <c r="B18" s="51" t="s">
        <v>90</v>
      </c>
      <c r="C18" s="284"/>
      <c r="D18" s="46">
        <f>+'03-03'!C36</f>
        <v>7952282</v>
      </c>
      <c r="E18" s="46">
        <f>+'03-03'!D36</f>
        <v>7780049</v>
      </c>
      <c r="F18" s="46">
        <f>+'03-03'!E36</f>
        <v>172233</v>
      </c>
      <c r="G18" s="46">
        <f>+'03-03'!F36</f>
        <v>7780049</v>
      </c>
      <c r="H18" s="46">
        <f>+'03-03'!G36</f>
        <v>0</v>
      </c>
      <c r="I18" s="47">
        <f t="shared" si="2"/>
        <v>0.97834168858699933</v>
      </c>
      <c r="J18" s="47">
        <f t="shared" si="3"/>
        <v>0.97834168858699933</v>
      </c>
    </row>
    <row r="19" spans="2:10" x14ac:dyDescent="0.25">
      <c r="B19" s="51" t="s">
        <v>173</v>
      </c>
      <c r="C19" s="284"/>
      <c r="D19" s="46">
        <f>+'03-04'!C40</f>
        <v>8439237</v>
      </c>
      <c r="E19" s="46">
        <f>+'03-04'!D40</f>
        <v>8187053</v>
      </c>
      <c r="F19" s="46">
        <f>+'03-04'!E40</f>
        <v>252184</v>
      </c>
      <c r="G19" s="46">
        <f>+'03-04'!F40</f>
        <v>8187053</v>
      </c>
      <c r="H19" s="46">
        <f>+'03-04'!G40</f>
        <v>0</v>
      </c>
      <c r="I19" s="47">
        <f t="shared" si="2"/>
        <v>0.97011767770001012</v>
      </c>
      <c r="J19" s="47">
        <f t="shared" si="3"/>
        <v>0.97011767770001012</v>
      </c>
    </row>
    <row r="20" spans="2:10" x14ac:dyDescent="0.25">
      <c r="B20" s="34"/>
      <c r="C20" s="34"/>
      <c r="D20" s="34"/>
      <c r="E20" s="34"/>
      <c r="F20" s="34"/>
      <c r="G20" s="34"/>
      <c r="H20" s="34"/>
      <c r="I20" s="34"/>
      <c r="J20" s="34"/>
    </row>
    <row r="21" spans="2:10" x14ac:dyDescent="0.25">
      <c r="B21" s="34"/>
      <c r="C21" s="34"/>
      <c r="D21" s="34"/>
      <c r="E21" s="34"/>
      <c r="F21" s="34"/>
      <c r="G21" s="34"/>
      <c r="H21" s="34"/>
      <c r="I21" s="34"/>
      <c r="J21" s="34"/>
    </row>
    <row r="22" spans="2:10" x14ac:dyDescent="0.25">
      <c r="B22" s="34"/>
      <c r="C22" s="34"/>
      <c r="D22" s="34"/>
      <c r="E22" s="34"/>
      <c r="F22" s="34"/>
      <c r="G22" s="34"/>
      <c r="H22" s="34"/>
      <c r="I22" s="34"/>
      <c r="J22" s="34"/>
    </row>
    <row r="23" spans="2:10" x14ac:dyDescent="0.25">
      <c r="B23" s="34"/>
      <c r="C23" s="34"/>
      <c r="D23" s="34"/>
      <c r="E23" s="34"/>
      <c r="F23" s="34"/>
      <c r="G23" s="34"/>
      <c r="H23" s="34"/>
      <c r="I23" s="34"/>
      <c r="J23" s="34"/>
    </row>
    <row r="24" spans="2:10" x14ac:dyDescent="0.25">
      <c r="B24" s="34"/>
      <c r="C24" s="34"/>
      <c r="E24" s="99"/>
      <c r="F24" s="34"/>
      <c r="G24" s="34"/>
      <c r="H24" s="34"/>
      <c r="I24" s="34"/>
      <c r="J24" s="34"/>
    </row>
    <row r="25" spans="2:10" ht="30" hidden="1" x14ac:dyDescent="0.25">
      <c r="B25" s="67" t="s">
        <v>97</v>
      </c>
      <c r="C25" s="67" t="s">
        <v>321</v>
      </c>
      <c r="D25" s="67" t="s">
        <v>307</v>
      </c>
      <c r="F25" s="34"/>
      <c r="G25" s="34"/>
      <c r="H25" s="34"/>
      <c r="I25" s="34"/>
      <c r="J25" s="34"/>
    </row>
    <row r="26" spans="2:10" hidden="1" x14ac:dyDescent="0.25">
      <c r="B26" s="51" t="s">
        <v>324</v>
      </c>
      <c r="C26" s="47">
        <f>G10/C10</f>
        <v>1.0317064239624034</v>
      </c>
      <c r="D26" s="47">
        <f>G10/D10</f>
        <v>0.97278573426485948</v>
      </c>
    </row>
    <row r="27" spans="2:10" hidden="1" x14ac:dyDescent="0.25">
      <c r="B27" s="52" t="s">
        <v>323</v>
      </c>
      <c r="C27" s="47">
        <f>('01-01'!G83+'01-02'!G39)/('01-01'!C83+'01-02'!C39)</f>
        <v>0.91664219694641391</v>
      </c>
      <c r="D27" s="47">
        <f>('01-01'!G83+'01-02'!G39)/('01-01'!D83+'01-02'!D39)</f>
        <v>0.97009003081751655</v>
      </c>
    </row>
    <row r="29" spans="2:10" x14ac:dyDescent="0.25">
      <c r="B29" t="s">
        <v>73</v>
      </c>
    </row>
  </sheetData>
  <mergeCells count="2">
    <mergeCell ref="B2:J2"/>
    <mergeCell ref="B3:J3"/>
  </mergeCells>
  <pageMargins left="0.7" right="0.7" top="0.75" bottom="0.75" header="0.3" footer="0.3"/>
  <pageSetup scale="71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"/>
  <dimension ref="B3:BI31"/>
  <sheetViews>
    <sheetView workbookViewId="0">
      <selection activeCell="C14" sqref="C14"/>
    </sheetView>
  </sheetViews>
  <sheetFormatPr baseColWidth="10" defaultRowHeight="15" x14ac:dyDescent="0.25"/>
  <cols>
    <col min="2" max="2" width="25.7109375" bestFit="1" customWidth="1"/>
    <col min="3" max="3" width="17.5703125" customWidth="1"/>
    <col min="6" max="6" width="13.140625" style="63" customWidth="1"/>
  </cols>
  <sheetData>
    <row r="3" spans="2:6" ht="15.75" thickBot="1" x14ac:dyDescent="0.3">
      <c r="F3" s="63">
        <f>SUM(C4:C9)</f>
        <v>-43250268</v>
      </c>
    </row>
    <row r="4" spans="2:6" ht="16.5" thickBot="1" x14ac:dyDescent="0.35">
      <c r="B4" t="s">
        <v>268</v>
      </c>
      <c r="C4" s="154">
        <v>-17297000</v>
      </c>
      <c r="F4" s="167">
        <v>43251243</v>
      </c>
    </row>
    <row r="5" spans="2:6" ht="15.75" thickBot="1" x14ac:dyDescent="0.3">
      <c r="B5" t="s">
        <v>223</v>
      </c>
      <c r="C5" s="154">
        <v>-15635134</v>
      </c>
      <c r="F5" s="63">
        <f>F4+F3</f>
        <v>975</v>
      </c>
    </row>
    <row r="6" spans="2:6" ht="15.75" thickBot="1" x14ac:dyDescent="0.3">
      <c r="B6" s="144" t="s">
        <v>224</v>
      </c>
      <c r="C6" s="154">
        <v>-213500</v>
      </c>
    </row>
    <row r="7" spans="2:6" ht="15.75" thickBot="1" x14ac:dyDescent="0.3">
      <c r="B7" s="144" t="s">
        <v>225</v>
      </c>
      <c r="C7" s="156">
        <v>-890220</v>
      </c>
    </row>
    <row r="8" spans="2:6" ht="15.75" thickBot="1" x14ac:dyDescent="0.3">
      <c r="B8" s="144" t="s">
        <v>228</v>
      </c>
      <c r="C8" s="156">
        <v>-1214414</v>
      </c>
    </row>
    <row r="9" spans="2:6" ht="15.75" thickBot="1" x14ac:dyDescent="0.3">
      <c r="B9" s="144" t="s">
        <v>229</v>
      </c>
      <c r="C9" s="156">
        <v>-8000000</v>
      </c>
    </row>
    <row r="10" spans="2:6" ht="15.75" thickBot="1" x14ac:dyDescent="0.3">
      <c r="B10" s="144" t="s">
        <v>242</v>
      </c>
      <c r="C10" s="155">
        <v>-24777414</v>
      </c>
      <c r="F10" s="63">
        <v>52781360</v>
      </c>
    </row>
    <row r="11" spans="2:6" ht="17.25" thickBot="1" x14ac:dyDescent="0.4">
      <c r="B11" s="144" t="s">
        <v>255</v>
      </c>
      <c r="C11" s="155">
        <v>-30827000</v>
      </c>
      <c r="F11" s="170">
        <v>15791227</v>
      </c>
    </row>
    <row r="12" spans="2:6" ht="15.75" thickBot="1" x14ac:dyDescent="0.3">
      <c r="B12" s="144" t="s">
        <v>265</v>
      </c>
      <c r="C12" s="155">
        <v>-68572587</v>
      </c>
      <c r="F12" s="63">
        <f>SUM(F10:F11)</f>
        <v>68572587</v>
      </c>
    </row>
    <row r="13" spans="2:6" ht="15.75" thickBot="1" x14ac:dyDescent="0.3">
      <c r="B13" s="144" t="s">
        <v>267</v>
      </c>
      <c r="C13" s="155">
        <v>-159980200</v>
      </c>
    </row>
    <row r="14" spans="2:6" ht="15.75" thickBot="1" x14ac:dyDescent="0.3">
      <c r="C14" s="155">
        <f>SUM(C4:C13)*-1</f>
        <v>327407469</v>
      </c>
    </row>
    <row r="15" spans="2:6" ht="15.75" x14ac:dyDescent="0.3">
      <c r="C15" s="166">
        <v>327408444</v>
      </c>
    </row>
    <row r="18" spans="2:61" ht="15.75" thickBot="1" x14ac:dyDescent="0.3">
      <c r="C18" s="159">
        <v>41596116</v>
      </c>
    </row>
    <row r="19" spans="2:61" x14ac:dyDescent="0.25">
      <c r="C19" s="23">
        <f>+C9+C8+C7</f>
        <v>-10104634</v>
      </c>
    </row>
    <row r="29" spans="2:61" x14ac:dyDescent="0.25">
      <c r="B29" s="162"/>
      <c r="C29" s="157"/>
      <c r="D29" s="157"/>
      <c r="E29" s="157"/>
      <c r="F29" s="168"/>
      <c r="G29" s="157"/>
      <c r="H29" s="157"/>
      <c r="I29" s="157"/>
      <c r="J29" s="157"/>
      <c r="K29" s="157"/>
      <c r="L29" s="157"/>
      <c r="M29" s="157"/>
      <c r="N29" s="157"/>
      <c r="O29" s="157"/>
      <c r="P29" s="157"/>
      <c r="Q29" s="157"/>
      <c r="R29" s="157"/>
      <c r="S29" s="157"/>
      <c r="T29" s="157"/>
      <c r="U29" s="157"/>
      <c r="V29" s="157"/>
      <c r="W29" s="157"/>
      <c r="X29" s="157"/>
      <c r="Y29" s="157"/>
      <c r="Z29" s="157"/>
      <c r="AA29" s="157"/>
      <c r="AB29" s="157"/>
      <c r="AC29" s="157"/>
      <c r="AD29" s="157"/>
      <c r="AE29" s="157"/>
      <c r="AF29" s="157"/>
      <c r="AG29" s="157"/>
      <c r="AH29" s="157"/>
      <c r="AI29" s="157"/>
      <c r="AJ29" s="157"/>
      <c r="AK29" s="157"/>
      <c r="AL29" s="157"/>
      <c r="AM29" s="157"/>
      <c r="AN29" s="157"/>
      <c r="AO29" s="157"/>
      <c r="AP29" s="157"/>
      <c r="AQ29" s="157"/>
      <c r="AR29" s="157"/>
      <c r="AS29" s="157"/>
      <c r="AT29" s="157"/>
      <c r="AU29" s="157"/>
      <c r="AV29" s="157"/>
      <c r="AW29" s="157"/>
      <c r="AX29" s="157"/>
      <c r="AY29" s="157"/>
      <c r="AZ29" s="157"/>
      <c r="BA29" s="157"/>
      <c r="BB29" s="157"/>
      <c r="BC29" s="157"/>
      <c r="BD29" s="157"/>
      <c r="BE29" s="157"/>
      <c r="BF29" s="157"/>
      <c r="BG29" s="157"/>
      <c r="BH29" s="157"/>
      <c r="BI29" s="163"/>
    </row>
    <row r="30" spans="2:61" ht="15.75" thickBot="1" x14ac:dyDescent="0.3">
      <c r="B30" s="164">
        <v>0</v>
      </c>
      <c r="C30" s="159">
        <v>369978000</v>
      </c>
      <c r="D30" s="158">
        <v>0</v>
      </c>
      <c r="E30" s="158"/>
      <c r="F30" s="169">
        <v>0</v>
      </c>
      <c r="G30" s="158">
        <v>0</v>
      </c>
      <c r="H30" s="158">
        <v>0</v>
      </c>
      <c r="I30" s="158"/>
      <c r="J30" s="158">
        <v>0</v>
      </c>
      <c r="K30" s="158">
        <v>0</v>
      </c>
      <c r="L30" s="158">
        <v>0</v>
      </c>
      <c r="M30" s="158"/>
      <c r="N30" s="158">
        <v>0</v>
      </c>
      <c r="O30" s="158">
        <v>0</v>
      </c>
      <c r="P30" s="158">
        <v>0</v>
      </c>
      <c r="Q30" s="160" t="s">
        <v>269</v>
      </c>
      <c r="R30" s="157"/>
      <c r="S30" s="157"/>
      <c r="T30" s="157"/>
      <c r="U30" s="157"/>
      <c r="V30" s="157"/>
      <c r="W30" s="157"/>
      <c r="X30" s="157"/>
      <c r="Y30" s="157"/>
      <c r="Z30" s="157"/>
      <c r="AA30" s="157"/>
      <c r="AB30" s="157"/>
      <c r="AC30" s="157"/>
      <c r="AD30" s="157"/>
      <c r="AE30" s="157"/>
      <c r="AF30" s="157"/>
      <c r="AG30" s="157"/>
      <c r="AH30" s="157"/>
      <c r="AI30" s="157"/>
      <c r="AJ30" s="157"/>
      <c r="AK30" s="157"/>
      <c r="AL30" s="157"/>
      <c r="AM30" s="157"/>
      <c r="AN30" s="157"/>
      <c r="AO30" s="157"/>
      <c r="AP30" s="157"/>
      <c r="AQ30" s="157"/>
      <c r="AR30" s="157"/>
      <c r="AS30" s="157"/>
      <c r="AT30" s="157"/>
      <c r="AU30" s="157"/>
      <c r="AV30" s="157"/>
      <c r="AW30" s="157"/>
      <c r="AX30" s="157"/>
      <c r="AY30" s="157"/>
      <c r="AZ30" s="157"/>
      <c r="BA30" s="157"/>
      <c r="BB30" s="157"/>
      <c r="BC30" s="157"/>
      <c r="BD30" s="157"/>
      <c r="BE30" s="157"/>
      <c r="BF30" s="157"/>
      <c r="BG30" s="157"/>
      <c r="BH30" s="157"/>
      <c r="BI30" s="163"/>
    </row>
    <row r="31" spans="2:61" ht="41.25" thickBot="1" x14ac:dyDescent="0.3">
      <c r="B31" s="165">
        <v>24</v>
      </c>
      <c r="C31" s="161"/>
      <c r="D31" s="161"/>
      <c r="E31" s="161" t="s">
        <v>25</v>
      </c>
      <c r="F31" s="169">
        <v>77804111000</v>
      </c>
      <c r="G31" s="158">
        <v>0</v>
      </c>
      <c r="H31" s="159">
        <v>708294654</v>
      </c>
      <c r="I31" s="158">
        <v>0</v>
      </c>
      <c r="J31" s="159">
        <v>708294654</v>
      </c>
      <c r="K31" s="158">
        <v>0</v>
      </c>
      <c r="L31" s="159">
        <v>654025179</v>
      </c>
      <c r="M31" s="158">
        <v>0</v>
      </c>
      <c r="N31" s="159">
        <v>654025179</v>
      </c>
      <c r="O31" s="158">
        <v>0</v>
      </c>
      <c r="P31" s="159">
        <v>899740397</v>
      </c>
      <c r="Q31" s="158">
        <v>0</v>
      </c>
      <c r="R31" s="159">
        <v>899740397</v>
      </c>
      <c r="S31" s="158">
        <v>0</v>
      </c>
      <c r="T31" s="159">
        <v>1023039535</v>
      </c>
      <c r="U31" s="158">
        <v>0</v>
      </c>
      <c r="V31" s="159">
        <v>1023039535</v>
      </c>
      <c r="W31" s="158">
        <v>0</v>
      </c>
      <c r="X31" s="159">
        <v>1732134017</v>
      </c>
      <c r="Y31" s="158">
        <v>0</v>
      </c>
      <c r="Z31" s="159">
        <v>1732134017</v>
      </c>
      <c r="AA31" s="158">
        <v>0</v>
      </c>
      <c r="AB31" s="159">
        <v>773007539</v>
      </c>
      <c r="AC31" s="158">
        <v>0</v>
      </c>
      <c r="AD31" s="159">
        <v>773007539</v>
      </c>
      <c r="AE31" s="158">
        <v>0</v>
      </c>
      <c r="AF31" s="159">
        <v>1111946583</v>
      </c>
      <c r="AG31" s="158">
        <v>0</v>
      </c>
      <c r="AH31" s="159">
        <v>1111946583</v>
      </c>
      <c r="AI31" s="158">
        <v>0</v>
      </c>
      <c r="AJ31" s="159">
        <v>1226151347</v>
      </c>
      <c r="AK31" s="158">
        <v>0</v>
      </c>
      <c r="AL31" s="159">
        <v>1226151347</v>
      </c>
      <c r="AM31" s="158">
        <v>0</v>
      </c>
      <c r="AN31" s="159">
        <v>997577306</v>
      </c>
      <c r="AO31" s="158">
        <v>0</v>
      </c>
      <c r="AP31" s="159">
        <v>997577306</v>
      </c>
      <c r="AQ31" s="158">
        <v>0</v>
      </c>
      <c r="AR31" s="159">
        <v>913290167</v>
      </c>
      <c r="AS31" s="158">
        <v>0</v>
      </c>
      <c r="AT31" s="159">
        <v>913290167</v>
      </c>
      <c r="AU31" s="158">
        <v>0</v>
      </c>
      <c r="AV31" s="159">
        <v>877578397</v>
      </c>
      <c r="AW31" s="158">
        <v>0</v>
      </c>
      <c r="AX31" s="159">
        <v>877578397</v>
      </c>
      <c r="AY31" s="158">
        <v>0</v>
      </c>
      <c r="AZ31" s="159">
        <v>560132898</v>
      </c>
      <c r="BA31" s="158">
        <v>0</v>
      </c>
      <c r="BB31" s="159">
        <v>560132898</v>
      </c>
      <c r="BC31" s="158">
        <v>0</v>
      </c>
      <c r="BD31" s="159">
        <v>1775871203</v>
      </c>
      <c r="BE31" s="158">
        <v>0</v>
      </c>
      <c r="BF31" s="159">
        <v>1775871203</v>
      </c>
      <c r="BG31" s="158">
        <v>0</v>
      </c>
      <c r="BH31" s="159">
        <v>62344625402</v>
      </c>
      <c r="BI31" s="159">
        <v>41596116</v>
      </c>
    </row>
  </sheetData>
  <hyperlinks>
    <hyperlink ref="Q30" r:id="rId1" display="https://sb.sigfe.gob.cl/sigfe/faces/task-flow-exceso-flexibilidad/distribucionLeyPresupuestos?_adf.ctrl-state=8izcqljnp_105" xr:uid="{00000000-0004-0000-0900-000000000000}"/>
  </hyperlinks>
  <pageMargins left="0.7" right="0.7" top="0.75" bottom="0.75" header="0.3" footer="0.3"/>
  <drawing r:id="rId2"/>
  <legacyDrawing r:id="rId3"/>
  <controls>
    <mc:AlternateContent xmlns:mc="http://schemas.openxmlformats.org/markup-compatibility/2006">
      <mc:Choice Requires="x14">
        <control shapeId="9219" r:id="rId4" name="Control 3">
          <controlPr defaultSize="0" autoPict="0" r:id="rId5">
            <anchor moveWithCells="1">
              <from>
                <xdr:col>12</xdr:col>
                <xdr:colOff>0</xdr:colOff>
                <xdr:row>29</xdr:row>
                <xdr:rowOff>0</xdr:rowOff>
              </from>
              <to>
                <xdr:col>13</xdr:col>
                <xdr:colOff>152400</xdr:colOff>
                <xdr:row>30</xdr:row>
                <xdr:rowOff>28575</xdr:rowOff>
              </to>
            </anchor>
          </controlPr>
        </control>
      </mc:Choice>
      <mc:Fallback>
        <control shapeId="9219" r:id="rId4" name="Control 3"/>
      </mc:Fallback>
    </mc:AlternateContent>
    <mc:AlternateContent xmlns:mc="http://schemas.openxmlformats.org/markup-compatibility/2006">
      <mc:Choice Requires="x14">
        <control shapeId="9218" r:id="rId6" name="Control 2">
          <controlPr defaultSize="0" autoPict="0" r:id="rId7">
            <anchor moveWithCells="1">
              <from>
                <xdr:col>8</xdr:col>
                <xdr:colOff>0</xdr:colOff>
                <xdr:row>29</xdr:row>
                <xdr:rowOff>0</xdr:rowOff>
              </from>
              <to>
                <xdr:col>9</xdr:col>
                <xdr:colOff>152400</xdr:colOff>
                <xdr:row>30</xdr:row>
                <xdr:rowOff>28575</xdr:rowOff>
              </to>
            </anchor>
          </controlPr>
        </control>
      </mc:Choice>
      <mc:Fallback>
        <control shapeId="9218" r:id="rId6" name="Control 2"/>
      </mc:Fallback>
    </mc:AlternateContent>
    <mc:AlternateContent xmlns:mc="http://schemas.openxmlformats.org/markup-compatibility/2006">
      <mc:Choice Requires="x14">
        <control shapeId="9217" r:id="rId8" name="Control 1">
          <controlPr defaultSize="0" autoPict="0" r:id="rId9">
            <anchor moveWithCells="1">
              <from>
                <xdr:col>4</xdr:col>
                <xdr:colOff>0</xdr:colOff>
                <xdr:row>29</xdr:row>
                <xdr:rowOff>0</xdr:rowOff>
              </from>
              <to>
                <xdr:col>5</xdr:col>
                <xdr:colOff>152400</xdr:colOff>
                <xdr:row>30</xdr:row>
                <xdr:rowOff>28575</xdr:rowOff>
              </to>
            </anchor>
          </controlPr>
        </control>
      </mc:Choice>
      <mc:Fallback>
        <control shapeId="9217" r:id="rId8" name="Control 1"/>
      </mc:Fallback>
    </mc:AlternateContent>
  </control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H63"/>
  <sheetViews>
    <sheetView topLeftCell="A23" workbookViewId="0">
      <selection activeCell="D60" sqref="D60"/>
    </sheetView>
  </sheetViews>
  <sheetFormatPr baseColWidth="10" defaultRowHeight="15" outlineLevelRow="1" x14ac:dyDescent="0.25"/>
  <cols>
    <col min="1" max="1" width="39.140625" customWidth="1"/>
    <col min="2" max="8" width="14.85546875" customWidth="1"/>
  </cols>
  <sheetData>
    <row r="2" spans="1:8" ht="14.25" customHeight="1" x14ac:dyDescent="0.25">
      <c r="A2" s="294" t="s">
        <v>121</v>
      </c>
      <c r="B2" s="294"/>
      <c r="C2" s="294"/>
      <c r="D2" s="294"/>
      <c r="E2" s="294"/>
      <c r="F2" s="294"/>
      <c r="G2" s="294"/>
      <c r="H2" s="294"/>
    </row>
    <row r="3" spans="1:8" ht="14.25" customHeight="1" x14ac:dyDescent="0.25">
      <c r="A3" s="295" t="s">
        <v>179</v>
      </c>
      <c r="B3" s="295"/>
      <c r="C3" s="295"/>
      <c r="D3" s="295"/>
      <c r="E3" s="295"/>
      <c r="F3" s="295"/>
      <c r="G3" s="295"/>
      <c r="H3" s="295"/>
    </row>
    <row r="4" spans="1:8" ht="14.25" customHeight="1" x14ac:dyDescent="0.25">
      <c r="A4" s="43"/>
      <c r="B4" s="43"/>
      <c r="C4" s="43"/>
      <c r="D4" s="43"/>
      <c r="E4" s="43"/>
      <c r="F4" s="43"/>
      <c r="G4" s="43"/>
      <c r="H4" s="43"/>
    </row>
    <row r="5" spans="1:8" ht="25.5" x14ac:dyDescent="0.25">
      <c r="A5" s="75" t="s">
        <v>122</v>
      </c>
      <c r="B5" s="75" t="s">
        <v>123</v>
      </c>
      <c r="C5" s="75" t="s">
        <v>124</v>
      </c>
      <c r="D5" s="75" t="s">
        <v>125</v>
      </c>
      <c r="E5" s="75" t="s">
        <v>126</v>
      </c>
      <c r="F5" s="75" t="s">
        <v>127</v>
      </c>
      <c r="G5" s="75" t="s">
        <v>128</v>
      </c>
      <c r="H5" s="75" t="s">
        <v>129</v>
      </c>
    </row>
    <row r="6" spans="1:8" ht="14.25" customHeight="1" x14ac:dyDescent="0.25">
      <c r="A6" s="76" t="s">
        <v>130</v>
      </c>
      <c r="B6" s="9">
        <v>0</v>
      </c>
      <c r="C6" s="9">
        <v>0</v>
      </c>
      <c r="D6" s="9">
        <f t="shared" ref="D6:D44" si="0">+B6-C6</f>
        <v>0</v>
      </c>
      <c r="E6" s="9">
        <v>0</v>
      </c>
      <c r="F6" s="9">
        <f>+C6-E6</f>
        <v>0</v>
      </c>
      <c r="G6" s="10" t="e">
        <f>+C6/B6</f>
        <v>#DIV/0!</v>
      </c>
      <c r="H6" s="10" t="e">
        <f>+E6/B6</f>
        <v>#DIV/0!</v>
      </c>
    </row>
    <row r="7" spans="1:8" ht="14.25" customHeight="1" x14ac:dyDescent="0.25">
      <c r="A7" s="77" t="s">
        <v>131</v>
      </c>
      <c r="B7" s="9">
        <v>47469802</v>
      </c>
      <c r="C7" s="9">
        <v>42655633</v>
      </c>
      <c r="D7" s="9">
        <f>+B7-C7</f>
        <v>4814169</v>
      </c>
      <c r="E7" s="9">
        <v>42460117</v>
      </c>
      <c r="F7" s="9">
        <f t="shared" ref="F7:F44" si="1">+C7-E7</f>
        <v>195516</v>
      </c>
      <c r="G7" s="10">
        <f t="shared" ref="G7:G63" si="2">+C7/B7</f>
        <v>0.89858459910997734</v>
      </c>
      <c r="H7" s="10">
        <f t="shared" ref="H7:H63" si="3">+E7/B7</f>
        <v>0.89446585431302195</v>
      </c>
    </row>
    <row r="8" spans="1:8" ht="14.25" customHeight="1" x14ac:dyDescent="0.25">
      <c r="A8" s="77" t="s">
        <v>132</v>
      </c>
      <c r="B8" s="9">
        <v>90230340</v>
      </c>
      <c r="C8" s="9">
        <v>70102801</v>
      </c>
      <c r="D8" s="9">
        <f t="shared" si="0"/>
        <v>20127539</v>
      </c>
      <c r="E8" s="9">
        <v>70102796</v>
      </c>
      <c r="F8" s="9">
        <f t="shared" si="1"/>
        <v>5</v>
      </c>
      <c r="G8" s="68">
        <f t="shared" si="2"/>
        <v>0.77693158420992314</v>
      </c>
      <c r="H8" s="68">
        <f t="shared" si="3"/>
        <v>0.77693152879618987</v>
      </c>
    </row>
    <row r="9" spans="1:8" ht="14.25" customHeight="1" x14ac:dyDescent="0.25">
      <c r="A9" s="77" t="s">
        <v>133</v>
      </c>
      <c r="B9" s="9">
        <v>84368943</v>
      </c>
      <c r="C9" s="9">
        <v>81109970</v>
      </c>
      <c r="D9" s="9">
        <f t="shared" si="0"/>
        <v>3258973</v>
      </c>
      <c r="E9" s="9">
        <v>81097776</v>
      </c>
      <c r="F9" s="9">
        <f t="shared" si="1"/>
        <v>12194</v>
      </c>
      <c r="G9" s="68">
        <f t="shared" si="2"/>
        <v>0.96137236186543196</v>
      </c>
      <c r="H9" s="68">
        <f t="shared" si="3"/>
        <v>0.96122783000849021</v>
      </c>
    </row>
    <row r="10" spans="1:8" ht="14.25" customHeight="1" x14ac:dyDescent="0.25">
      <c r="A10" s="77" t="s">
        <v>134</v>
      </c>
      <c r="B10" s="9">
        <v>5931295</v>
      </c>
      <c r="C10" s="9">
        <v>4900032</v>
      </c>
      <c r="D10" s="9">
        <f t="shared" si="0"/>
        <v>1031263</v>
      </c>
      <c r="E10" s="9">
        <v>4836330</v>
      </c>
      <c r="F10" s="9">
        <f t="shared" si="1"/>
        <v>63702</v>
      </c>
      <c r="G10" s="10">
        <f t="shared" si="2"/>
        <v>0.82613189868317116</v>
      </c>
      <c r="H10" s="10">
        <f t="shared" si="3"/>
        <v>0.81539191694225288</v>
      </c>
    </row>
    <row r="11" spans="1:8" ht="14.25" customHeight="1" x14ac:dyDescent="0.25">
      <c r="A11" s="77" t="s">
        <v>135</v>
      </c>
      <c r="B11" s="9">
        <v>1082134375</v>
      </c>
      <c r="C11" s="9">
        <v>1006051983</v>
      </c>
      <c r="D11" s="9">
        <f t="shared" si="0"/>
        <v>76082392</v>
      </c>
      <c r="E11" s="9">
        <v>988787045</v>
      </c>
      <c r="F11" s="9">
        <f t="shared" si="1"/>
        <v>17264938</v>
      </c>
      <c r="G11" s="10">
        <f t="shared" si="2"/>
        <v>0.92969228798410553</v>
      </c>
      <c r="H11" s="10">
        <f t="shared" si="3"/>
        <v>0.91373776477620905</v>
      </c>
    </row>
    <row r="12" spans="1:8" ht="14.25" customHeight="1" x14ac:dyDescent="0.25">
      <c r="A12" s="77" t="s">
        <v>136</v>
      </c>
      <c r="B12" s="9">
        <v>760478000</v>
      </c>
      <c r="C12" s="9">
        <v>757577734</v>
      </c>
      <c r="D12" s="9">
        <f t="shared" si="0"/>
        <v>2900266</v>
      </c>
      <c r="E12" s="9">
        <v>755537394</v>
      </c>
      <c r="F12" s="9">
        <f t="shared" si="1"/>
        <v>2040340</v>
      </c>
      <c r="G12" s="10">
        <f t="shared" si="2"/>
        <v>0.99618625916857551</v>
      </c>
      <c r="H12" s="10">
        <f t="shared" si="3"/>
        <v>0.99350328872104121</v>
      </c>
    </row>
    <row r="13" spans="1:8" ht="14.25" customHeight="1" x14ac:dyDescent="0.25">
      <c r="A13" s="77" t="s">
        <v>109</v>
      </c>
      <c r="B13" s="9">
        <v>91155904</v>
      </c>
      <c r="C13" s="9">
        <v>84393011</v>
      </c>
      <c r="D13" s="9">
        <f t="shared" si="0"/>
        <v>6762893</v>
      </c>
      <c r="E13" s="9">
        <v>84304351</v>
      </c>
      <c r="F13" s="9">
        <f t="shared" si="1"/>
        <v>88660</v>
      </c>
      <c r="G13" s="10">
        <f t="shared" si="2"/>
        <v>0.92580959978192967</v>
      </c>
      <c r="H13" s="10">
        <f t="shared" si="3"/>
        <v>0.92483698038911444</v>
      </c>
    </row>
    <row r="14" spans="1:8" ht="14.25" customHeight="1" x14ac:dyDescent="0.25">
      <c r="A14" s="77" t="s">
        <v>137</v>
      </c>
      <c r="B14" s="9">
        <v>12721970</v>
      </c>
      <c r="C14" s="9">
        <v>12712870</v>
      </c>
      <c r="D14" s="9">
        <f t="shared" si="0"/>
        <v>9100</v>
      </c>
      <c r="E14" s="9">
        <v>12712870</v>
      </c>
      <c r="F14" s="9">
        <f t="shared" si="1"/>
        <v>0</v>
      </c>
      <c r="G14" s="10">
        <f t="shared" si="2"/>
        <v>0.99928470197618768</v>
      </c>
      <c r="H14" s="10">
        <f t="shared" si="3"/>
        <v>0.99928470197618768</v>
      </c>
    </row>
    <row r="15" spans="1:8" ht="14.25" customHeight="1" x14ac:dyDescent="0.25">
      <c r="A15" s="77" t="s">
        <v>108</v>
      </c>
      <c r="B15" s="9">
        <v>5000000</v>
      </c>
      <c r="C15" s="9">
        <v>4121447</v>
      </c>
      <c r="D15" s="9">
        <f t="shared" si="0"/>
        <v>878553</v>
      </c>
      <c r="E15" s="9">
        <v>4121447</v>
      </c>
      <c r="F15" s="9">
        <f t="shared" si="1"/>
        <v>0</v>
      </c>
      <c r="G15" s="10">
        <f t="shared" si="2"/>
        <v>0.82428939999999995</v>
      </c>
      <c r="H15" s="10">
        <f t="shared" si="3"/>
        <v>0.82428939999999995</v>
      </c>
    </row>
    <row r="16" spans="1:8" ht="14.25" customHeight="1" x14ac:dyDescent="0.25">
      <c r="A16" s="77" t="s">
        <v>138</v>
      </c>
      <c r="B16" s="9">
        <v>6985414</v>
      </c>
      <c r="C16" s="9">
        <v>5935662</v>
      </c>
      <c r="D16" s="9">
        <f t="shared" si="0"/>
        <v>1049752</v>
      </c>
      <c r="E16" s="9">
        <v>5838092</v>
      </c>
      <c r="F16" s="9">
        <f t="shared" si="1"/>
        <v>97570</v>
      </c>
      <c r="G16" s="10">
        <f t="shared" si="2"/>
        <v>0.84972229276604083</v>
      </c>
      <c r="H16" s="10">
        <f t="shared" si="3"/>
        <v>0.83575461669129414</v>
      </c>
    </row>
    <row r="17" spans="1:8" ht="14.25" customHeight="1" x14ac:dyDescent="0.25">
      <c r="A17" s="77" t="s">
        <v>139</v>
      </c>
      <c r="B17" s="9">
        <v>75782145</v>
      </c>
      <c r="C17" s="9">
        <v>75248626</v>
      </c>
      <c r="D17" s="9">
        <f t="shared" si="0"/>
        <v>533519</v>
      </c>
      <c r="E17" s="9">
        <v>74211344</v>
      </c>
      <c r="F17" s="9">
        <f t="shared" si="1"/>
        <v>1037282</v>
      </c>
      <c r="G17" s="10">
        <f t="shared" si="2"/>
        <v>0.99295983242490693</v>
      </c>
      <c r="H17" s="10">
        <f t="shared" si="3"/>
        <v>0.97927214913222638</v>
      </c>
    </row>
    <row r="18" spans="1:8" ht="14.25" customHeight="1" x14ac:dyDescent="0.25">
      <c r="A18" s="77" t="s">
        <v>140</v>
      </c>
      <c r="B18" s="9">
        <v>115384000</v>
      </c>
      <c r="C18" s="9">
        <v>93905000</v>
      </c>
      <c r="D18" s="9">
        <f t="shared" si="0"/>
        <v>21479000</v>
      </c>
      <c r="E18" s="9">
        <v>93905000</v>
      </c>
      <c r="F18" s="9">
        <f t="shared" si="1"/>
        <v>0</v>
      </c>
      <c r="G18" s="10">
        <f t="shared" si="2"/>
        <v>0.8138476738542606</v>
      </c>
      <c r="H18" s="10">
        <f t="shared" si="3"/>
        <v>0.8138476738542606</v>
      </c>
    </row>
    <row r="19" spans="1:8" ht="14.25" customHeight="1" x14ac:dyDescent="0.25">
      <c r="A19" s="77" t="s">
        <v>141</v>
      </c>
      <c r="B19" s="9">
        <v>285679000</v>
      </c>
      <c r="C19" s="9">
        <v>280541199</v>
      </c>
      <c r="D19" s="9">
        <f t="shared" si="0"/>
        <v>5137801</v>
      </c>
      <c r="E19" s="9">
        <v>265202214</v>
      </c>
      <c r="F19" s="9">
        <f t="shared" si="1"/>
        <v>15338985</v>
      </c>
      <c r="G19" s="10">
        <f t="shared" si="2"/>
        <v>0.98201547541121326</v>
      </c>
      <c r="H19" s="10">
        <f t="shared" si="3"/>
        <v>0.92832239681600681</v>
      </c>
    </row>
    <row r="20" spans="1:8" ht="14.25" customHeight="1" x14ac:dyDescent="0.25">
      <c r="A20" s="77" t="s">
        <v>142</v>
      </c>
      <c r="B20" s="9">
        <v>5000000</v>
      </c>
      <c r="C20" s="9">
        <v>1222280</v>
      </c>
      <c r="D20" s="9">
        <f t="shared" si="0"/>
        <v>3777720</v>
      </c>
      <c r="E20" s="9">
        <v>1135519</v>
      </c>
      <c r="F20" s="9">
        <f t="shared" si="1"/>
        <v>86761</v>
      </c>
      <c r="G20" s="10">
        <f t="shared" si="2"/>
        <v>0.24445600000000001</v>
      </c>
      <c r="H20" s="10">
        <f t="shared" si="3"/>
        <v>0.22710379999999999</v>
      </c>
    </row>
    <row r="21" spans="1:8" ht="14.25" customHeight="1" x14ac:dyDescent="0.25">
      <c r="A21" s="77" t="s">
        <v>143</v>
      </c>
      <c r="B21" s="9">
        <v>8530000</v>
      </c>
      <c r="C21" s="9">
        <v>6363689</v>
      </c>
      <c r="D21" s="9">
        <f t="shared" si="0"/>
        <v>2166311</v>
      </c>
      <c r="E21" s="9">
        <v>5777234</v>
      </c>
      <c r="F21" s="9">
        <f t="shared" si="1"/>
        <v>586455</v>
      </c>
      <c r="G21" s="10">
        <f t="shared" si="2"/>
        <v>0.746036225087925</v>
      </c>
      <c r="H21" s="10">
        <f t="shared" si="3"/>
        <v>0.67728417350527548</v>
      </c>
    </row>
    <row r="22" spans="1:8" ht="14.25" customHeight="1" x14ac:dyDescent="0.25">
      <c r="A22" s="77" t="s">
        <v>144</v>
      </c>
      <c r="B22" s="9">
        <v>3338186</v>
      </c>
      <c r="C22" s="9">
        <v>3338186</v>
      </c>
      <c r="D22" s="9">
        <f t="shared" si="0"/>
        <v>0</v>
      </c>
      <c r="E22" s="9">
        <v>3338186</v>
      </c>
      <c r="F22" s="9">
        <f t="shared" si="1"/>
        <v>0</v>
      </c>
      <c r="G22" s="10">
        <f t="shared" si="2"/>
        <v>1</v>
      </c>
      <c r="H22" s="10">
        <f t="shared" si="3"/>
        <v>1</v>
      </c>
    </row>
    <row r="23" spans="1:8" ht="14.25" customHeight="1" x14ac:dyDescent="0.25">
      <c r="A23" s="77" t="s">
        <v>145</v>
      </c>
      <c r="B23" s="9">
        <v>10035000</v>
      </c>
      <c r="C23" s="9">
        <v>10024250</v>
      </c>
      <c r="D23" s="9">
        <f t="shared" si="0"/>
        <v>10750</v>
      </c>
      <c r="E23" s="9">
        <v>10000000</v>
      </c>
      <c r="F23" s="9">
        <f t="shared" si="1"/>
        <v>24250</v>
      </c>
      <c r="G23" s="10">
        <f t="shared" si="2"/>
        <v>0.9989287493771799</v>
      </c>
      <c r="H23" s="10">
        <f t="shared" si="3"/>
        <v>0.99651220727453915</v>
      </c>
    </row>
    <row r="24" spans="1:8" ht="14.25" customHeight="1" x14ac:dyDescent="0.25">
      <c r="A24" s="77" t="s">
        <v>146</v>
      </c>
      <c r="B24" s="9">
        <v>450604</v>
      </c>
      <c r="C24" s="9">
        <v>450604</v>
      </c>
      <c r="D24" s="9">
        <f t="shared" si="0"/>
        <v>0</v>
      </c>
      <c r="E24" s="9">
        <v>450604</v>
      </c>
      <c r="F24" s="9">
        <f t="shared" si="1"/>
        <v>0</v>
      </c>
      <c r="G24" s="10">
        <f t="shared" si="2"/>
        <v>1</v>
      </c>
      <c r="H24" s="10">
        <f t="shared" si="3"/>
        <v>1</v>
      </c>
    </row>
    <row r="25" spans="1:8" ht="14.25" customHeight="1" x14ac:dyDescent="0.25">
      <c r="A25" s="77" t="s">
        <v>147</v>
      </c>
      <c r="B25" s="9">
        <v>64778867</v>
      </c>
      <c r="C25" s="9">
        <v>63171064</v>
      </c>
      <c r="D25" s="9">
        <f t="shared" si="0"/>
        <v>1607803</v>
      </c>
      <c r="E25" s="9">
        <v>59906170</v>
      </c>
      <c r="F25" s="9">
        <f t="shared" si="1"/>
        <v>3264894</v>
      </c>
      <c r="G25" s="10">
        <f t="shared" si="2"/>
        <v>0.97518013089052635</v>
      </c>
      <c r="H25" s="10">
        <f t="shared" si="3"/>
        <v>0.92477952724921852</v>
      </c>
    </row>
    <row r="26" spans="1:8" ht="14.25" customHeight="1" x14ac:dyDescent="0.25">
      <c r="A26" s="77" t="s">
        <v>148</v>
      </c>
      <c r="B26" s="9">
        <v>5583512</v>
      </c>
      <c r="C26" s="9">
        <v>1584036</v>
      </c>
      <c r="D26" s="9">
        <f t="shared" si="0"/>
        <v>3999476</v>
      </c>
      <c r="E26" s="9">
        <v>1584036</v>
      </c>
      <c r="F26" s="9">
        <f t="shared" si="1"/>
        <v>0</v>
      </c>
      <c r="G26" s="10">
        <f t="shared" si="2"/>
        <v>0.28369886193492555</v>
      </c>
      <c r="H26" s="10">
        <f t="shared" si="3"/>
        <v>0.28369886193492555</v>
      </c>
    </row>
    <row r="27" spans="1:8" ht="14.25" customHeight="1" x14ac:dyDescent="0.25">
      <c r="A27" s="77" t="s">
        <v>149</v>
      </c>
      <c r="B27" s="9">
        <v>3500000</v>
      </c>
      <c r="C27" s="9">
        <v>3400000</v>
      </c>
      <c r="D27" s="9">
        <f t="shared" si="0"/>
        <v>100000</v>
      </c>
      <c r="E27" s="9">
        <v>3400000</v>
      </c>
      <c r="F27" s="9">
        <f t="shared" si="1"/>
        <v>0</v>
      </c>
      <c r="G27" s="10">
        <f t="shared" si="2"/>
        <v>0.97142857142857142</v>
      </c>
      <c r="H27" s="10">
        <f t="shared" si="3"/>
        <v>0.97142857142857142</v>
      </c>
    </row>
    <row r="28" spans="1:8" ht="14.25" customHeight="1" x14ac:dyDescent="0.25">
      <c r="A28" s="77" t="s">
        <v>150</v>
      </c>
      <c r="B28" s="9">
        <v>374815475</v>
      </c>
      <c r="C28" s="9">
        <v>369351052</v>
      </c>
      <c r="D28" s="9">
        <f t="shared" si="0"/>
        <v>5464423</v>
      </c>
      <c r="E28" s="9">
        <v>336167938</v>
      </c>
      <c r="F28" s="9">
        <f t="shared" si="1"/>
        <v>33183114</v>
      </c>
      <c r="G28" s="10">
        <f t="shared" si="2"/>
        <v>0.98542103150890448</v>
      </c>
      <c r="H28" s="10">
        <f t="shared" si="3"/>
        <v>0.89688916392793017</v>
      </c>
    </row>
    <row r="29" spans="1:8" ht="14.25" customHeight="1" x14ac:dyDescent="0.25">
      <c r="A29" s="77" t="s">
        <v>151</v>
      </c>
      <c r="B29" s="9">
        <v>44368803</v>
      </c>
      <c r="C29" s="9">
        <v>43007838</v>
      </c>
      <c r="D29" s="9">
        <f t="shared" si="0"/>
        <v>1360965</v>
      </c>
      <c r="E29" s="9">
        <v>42852707</v>
      </c>
      <c r="F29" s="9">
        <f t="shared" si="1"/>
        <v>155131</v>
      </c>
      <c r="G29" s="10">
        <f t="shared" si="2"/>
        <v>0.96932608256301167</v>
      </c>
      <c r="H29" s="10">
        <f t="shared" si="3"/>
        <v>0.9658296844293951</v>
      </c>
    </row>
    <row r="30" spans="1:8" ht="14.25" customHeight="1" x14ac:dyDescent="0.25">
      <c r="A30" s="77" t="s">
        <v>152</v>
      </c>
      <c r="B30" s="9">
        <v>53904000</v>
      </c>
      <c r="C30" s="9">
        <v>49686692</v>
      </c>
      <c r="D30" s="9">
        <f t="shared" si="0"/>
        <v>4217308</v>
      </c>
      <c r="E30" s="9">
        <v>49686692</v>
      </c>
      <c r="F30" s="9">
        <f t="shared" si="1"/>
        <v>0</v>
      </c>
      <c r="G30" s="10">
        <f t="shared" si="2"/>
        <v>0.92176261501929357</v>
      </c>
      <c r="H30" s="10">
        <f t="shared" si="3"/>
        <v>0.92176261501929357</v>
      </c>
    </row>
    <row r="31" spans="1:8" ht="14.25" customHeight="1" x14ac:dyDescent="0.25">
      <c r="A31" s="77" t="s">
        <v>153</v>
      </c>
      <c r="B31" s="9">
        <v>37318900</v>
      </c>
      <c r="C31" s="9">
        <v>37292975</v>
      </c>
      <c r="D31" s="9">
        <f t="shared" si="0"/>
        <v>25925</v>
      </c>
      <c r="E31" s="9">
        <v>35509135</v>
      </c>
      <c r="F31" s="9">
        <f t="shared" si="1"/>
        <v>1783840</v>
      </c>
      <c r="G31" s="10">
        <f t="shared" si="2"/>
        <v>0.99930531178571713</v>
      </c>
      <c r="H31" s="10">
        <f t="shared" si="3"/>
        <v>0.95150540342828971</v>
      </c>
    </row>
    <row r="32" spans="1:8" ht="14.25" customHeight="1" x14ac:dyDescent="0.25">
      <c r="A32" s="77" t="s">
        <v>154</v>
      </c>
      <c r="B32" s="9">
        <v>117135399</v>
      </c>
      <c r="C32" s="9">
        <v>115606735</v>
      </c>
      <c r="D32" s="9">
        <f t="shared" si="0"/>
        <v>1528664</v>
      </c>
      <c r="E32" s="9">
        <v>111400168</v>
      </c>
      <c r="F32" s="9">
        <f t="shared" si="1"/>
        <v>4206567</v>
      </c>
      <c r="G32" s="10">
        <f t="shared" si="2"/>
        <v>0.98694959838741836</v>
      </c>
      <c r="H32" s="10">
        <f t="shared" si="3"/>
        <v>0.95103759368250418</v>
      </c>
    </row>
    <row r="33" spans="1:8" ht="14.25" customHeight="1" x14ac:dyDescent="0.25">
      <c r="A33" s="77" t="s">
        <v>155</v>
      </c>
      <c r="B33" s="9">
        <v>40239040</v>
      </c>
      <c r="C33" s="9">
        <v>37818861</v>
      </c>
      <c r="D33" s="9">
        <f t="shared" si="0"/>
        <v>2420179</v>
      </c>
      <c r="E33" s="9">
        <v>37802535</v>
      </c>
      <c r="F33" s="9">
        <f t="shared" si="1"/>
        <v>16326</v>
      </c>
      <c r="G33" s="10">
        <f t="shared" si="2"/>
        <v>0.93985495180799539</v>
      </c>
      <c r="H33" s="10">
        <f t="shared" si="3"/>
        <v>0.93944922642289674</v>
      </c>
    </row>
    <row r="34" spans="1:8" ht="14.25" customHeight="1" x14ac:dyDescent="0.25">
      <c r="A34" s="77" t="s">
        <v>156</v>
      </c>
      <c r="B34" s="9">
        <v>46035000</v>
      </c>
      <c r="C34" s="9">
        <v>45477849</v>
      </c>
      <c r="D34" s="9">
        <f t="shared" si="0"/>
        <v>557151</v>
      </c>
      <c r="E34" s="9">
        <v>45477849</v>
      </c>
      <c r="F34" s="9">
        <f t="shared" si="1"/>
        <v>0</v>
      </c>
      <c r="G34" s="10">
        <f t="shared" si="2"/>
        <v>0.9878972303681981</v>
      </c>
      <c r="H34" s="10">
        <f t="shared" si="3"/>
        <v>0.9878972303681981</v>
      </c>
    </row>
    <row r="35" spans="1:8" ht="14.25" customHeight="1" x14ac:dyDescent="0.25">
      <c r="A35" s="77" t="s">
        <v>157</v>
      </c>
      <c r="B35" s="9">
        <v>58562458</v>
      </c>
      <c r="C35" s="9">
        <v>58549200</v>
      </c>
      <c r="D35" s="9">
        <f t="shared" si="0"/>
        <v>13258</v>
      </c>
      <c r="E35" s="9">
        <v>58549200</v>
      </c>
      <c r="F35" s="9">
        <f t="shared" si="1"/>
        <v>0</v>
      </c>
      <c r="G35" s="10">
        <f t="shared" si="2"/>
        <v>0.99977360922931202</v>
      </c>
      <c r="H35" s="10">
        <f>+E35/B35</f>
        <v>0.99977360922931202</v>
      </c>
    </row>
    <row r="36" spans="1:8" ht="14.25" customHeight="1" x14ac:dyDescent="0.25">
      <c r="A36" s="77" t="s">
        <v>158</v>
      </c>
      <c r="B36" s="9">
        <v>113677135</v>
      </c>
      <c r="C36" s="9">
        <v>113649536</v>
      </c>
      <c r="D36" s="9">
        <f t="shared" si="0"/>
        <v>27599</v>
      </c>
      <c r="E36" s="9">
        <v>113607357</v>
      </c>
      <c r="F36" s="9">
        <f t="shared" si="1"/>
        <v>42179</v>
      </c>
      <c r="G36" s="10">
        <f t="shared" si="2"/>
        <v>0.9997572159080188</v>
      </c>
      <c r="H36" s="10">
        <f t="shared" si="3"/>
        <v>0.99938617383346262</v>
      </c>
    </row>
    <row r="37" spans="1:8" ht="14.25" customHeight="1" x14ac:dyDescent="0.25">
      <c r="A37" s="77" t="s">
        <v>159</v>
      </c>
      <c r="B37" s="9">
        <v>60270240</v>
      </c>
      <c r="C37" s="9">
        <v>59904920</v>
      </c>
      <c r="D37" s="9">
        <f t="shared" si="0"/>
        <v>365320</v>
      </c>
      <c r="E37" s="9">
        <v>59608835</v>
      </c>
      <c r="F37" s="9">
        <f t="shared" si="1"/>
        <v>296085</v>
      </c>
      <c r="G37" s="10">
        <f t="shared" si="2"/>
        <v>0.99393863372702684</v>
      </c>
      <c r="H37" s="10">
        <f t="shared" si="3"/>
        <v>0.98902601018346703</v>
      </c>
    </row>
    <row r="38" spans="1:8" ht="14.25" customHeight="1" x14ac:dyDescent="0.25">
      <c r="A38" s="77" t="s">
        <v>160</v>
      </c>
      <c r="B38" s="9">
        <v>50141445</v>
      </c>
      <c r="C38" s="9">
        <v>46873505</v>
      </c>
      <c r="D38" s="9">
        <f t="shared" si="0"/>
        <v>3267940</v>
      </c>
      <c r="E38" s="9">
        <v>46873505</v>
      </c>
      <c r="F38" s="9">
        <f t="shared" si="1"/>
        <v>0</v>
      </c>
      <c r="G38" s="10">
        <f t="shared" si="2"/>
        <v>0.93482557193954019</v>
      </c>
      <c r="H38" s="10">
        <f t="shared" si="3"/>
        <v>0.93482557193954019</v>
      </c>
    </row>
    <row r="39" spans="1:8" ht="14.25" customHeight="1" x14ac:dyDescent="0.25">
      <c r="A39" s="77" t="s">
        <v>161</v>
      </c>
      <c r="B39" s="9">
        <v>98348367</v>
      </c>
      <c r="C39" s="9">
        <v>98348367</v>
      </c>
      <c r="D39" s="9">
        <f t="shared" si="0"/>
        <v>0</v>
      </c>
      <c r="E39" s="9">
        <v>98348367</v>
      </c>
      <c r="F39" s="9">
        <f t="shared" si="1"/>
        <v>0</v>
      </c>
      <c r="G39" s="10">
        <f t="shared" si="2"/>
        <v>1</v>
      </c>
      <c r="H39" s="10">
        <f t="shared" si="3"/>
        <v>1</v>
      </c>
    </row>
    <row r="40" spans="1:8" ht="14.25" customHeight="1" x14ac:dyDescent="0.25">
      <c r="A40" s="77" t="s">
        <v>162</v>
      </c>
      <c r="B40" s="9">
        <v>43156000</v>
      </c>
      <c r="C40" s="9">
        <v>42340111</v>
      </c>
      <c r="D40" s="9">
        <f t="shared" si="0"/>
        <v>815889</v>
      </c>
      <c r="E40" s="9">
        <v>42340111</v>
      </c>
      <c r="F40" s="9">
        <f t="shared" si="1"/>
        <v>0</v>
      </c>
      <c r="G40" s="10">
        <f t="shared" si="2"/>
        <v>0.98109442487718979</v>
      </c>
      <c r="H40" s="10">
        <f t="shared" si="3"/>
        <v>0.98109442487718979</v>
      </c>
    </row>
    <row r="41" spans="1:8" ht="14.25" customHeight="1" x14ac:dyDescent="0.25">
      <c r="A41" s="77" t="s">
        <v>163</v>
      </c>
      <c r="B41" s="9">
        <v>17755042</v>
      </c>
      <c r="C41" s="9">
        <v>17525694</v>
      </c>
      <c r="D41" s="9">
        <f t="shared" si="0"/>
        <v>229348</v>
      </c>
      <c r="E41" s="9">
        <v>17525694</v>
      </c>
      <c r="F41" s="9">
        <f t="shared" si="1"/>
        <v>0</v>
      </c>
      <c r="G41" s="10">
        <f t="shared" si="2"/>
        <v>0.9870826551691626</v>
      </c>
      <c r="H41" s="10">
        <f t="shared" si="3"/>
        <v>0.9870826551691626</v>
      </c>
    </row>
    <row r="42" spans="1:8" ht="14.25" customHeight="1" x14ac:dyDescent="0.25">
      <c r="A42" s="77" t="s">
        <v>164</v>
      </c>
      <c r="B42" s="9">
        <v>59172747</v>
      </c>
      <c r="C42" s="9">
        <v>56360477</v>
      </c>
      <c r="D42" s="9">
        <f t="shared" si="0"/>
        <v>2812270</v>
      </c>
      <c r="E42" s="9">
        <v>56045725</v>
      </c>
      <c r="F42" s="9">
        <f t="shared" si="1"/>
        <v>314752</v>
      </c>
      <c r="G42" s="10">
        <f t="shared" si="2"/>
        <v>0.95247356016782525</v>
      </c>
      <c r="H42" s="10">
        <f t="shared" si="3"/>
        <v>0.94715435468966824</v>
      </c>
    </row>
    <row r="43" spans="1:8" ht="14.25" customHeight="1" x14ac:dyDescent="0.25">
      <c r="A43" s="77" t="s">
        <v>165</v>
      </c>
      <c r="B43" s="9">
        <v>51268800</v>
      </c>
      <c r="C43" s="9">
        <v>50051489</v>
      </c>
      <c r="D43" s="9">
        <f t="shared" si="0"/>
        <v>1217311</v>
      </c>
      <c r="E43" s="9">
        <v>50051489</v>
      </c>
      <c r="F43" s="9">
        <f t="shared" si="1"/>
        <v>0</v>
      </c>
      <c r="G43" s="10">
        <f t="shared" si="2"/>
        <v>0.97625630012795306</v>
      </c>
      <c r="H43" s="10">
        <f t="shared" si="3"/>
        <v>0.97625630012795306</v>
      </c>
    </row>
    <row r="44" spans="1:8" ht="14.25" customHeight="1" x14ac:dyDescent="0.25">
      <c r="A44" s="77" t="s">
        <v>166</v>
      </c>
      <c r="B44" s="9">
        <v>56107213</v>
      </c>
      <c r="C44" s="9">
        <v>55594993</v>
      </c>
      <c r="D44" s="9">
        <f t="shared" si="0"/>
        <v>512220</v>
      </c>
      <c r="E44" s="9">
        <v>55594993</v>
      </c>
      <c r="F44" s="9">
        <f t="shared" si="1"/>
        <v>0</v>
      </c>
      <c r="G44" s="10">
        <f t="shared" si="2"/>
        <v>0.99087069250793125</v>
      </c>
      <c r="H44" s="10">
        <f>+E44/B44</f>
        <v>0.99087069250793125</v>
      </c>
    </row>
    <row r="45" spans="1:8" ht="14.25" customHeight="1" x14ac:dyDescent="0.25">
      <c r="A45" s="77" t="s">
        <v>167</v>
      </c>
      <c r="B45" s="9">
        <f>SUM(B46:B62)</f>
        <v>57003579</v>
      </c>
      <c r="C45" s="9">
        <f>SUM(C46:C62)</f>
        <v>43770599</v>
      </c>
      <c r="D45" s="9">
        <f>SUM(D46:D62)</f>
        <v>13232980</v>
      </c>
      <c r="E45" s="9">
        <f>SUM(E46:E62)</f>
        <v>43602809</v>
      </c>
      <c r="F45" s="9">
        <f>SUM(F46:F62)</f>
        <v>167790</v>
      </c>
      <c r="G45" s="10">
        <f t="shared" si="2"/>
        <v>0.76785703227511382</v>
      </c>
      <c r="H45" s="10">
        <f t="shared" ref="H45:H62" si="4">+E45/B45</f>
        <v>0.76491353288536501</v>
      </c>
    </row>
    <row r="46" spans="1:8" ht="14.25" customHeight="1" outlineLevel="1" x14ac:dyDescent="0.25">
      <c r="A46" s="78" t="s">
        <v>151</v>
      </c>
      <c r="B46" s="79">
        <v>1423780</v>
      </c>
      <c r="C46" s="79">
        <v>1423780</v>
      </c>
      <c r="D46" s="79">
        <f>+B46-C46</f>
        <v>0</v>
      </c>
      <c r="E46" s="79">
        <v>1423780</v>
      </c>
      <c r="F46" s="79">
        <f>+C46-E46</f>
        <v>0</v>
      </c>
      <c r="G46" s="10">
        <f t="shared" si="2"/>
        <v>1</v>
      </c>
      <c r="H46" s="10">
        <f t="shared" si="4"/>
        <v>1</v>
      </c>
    </row>
    <row r="47" spans="1:8" ht="14.25" customHeight="1" outlineLevel="1" x14ac:dyDescent="0.25">
      <c r="A47" s="78" t="s">
        <v>152</v>
      </c>
      <c r="B47" s="79">
        <v>5052000</v>
      </c>
      <c r="C47" s="79">
        <v>4329701</v>
      </c>
      <c r="D47" s="79">
        <f t="shared" ref="D47:D62" si="5">+B47-C47</f>
        <v>722299</v>
      </c>
      <c r="E47" s="79">
        <v>4329701</v>
      </c>
      <c r="F47" s="79">
        <f t="shared" ref="F47:F62" si="6">+C47-E47</f>
        <v>0</v>
      </c>
      <c r="G47" s="10">
        <f t="shared" si="2"/>
        <v>0.85702711797307995</v>
      </c>
      <c r="H47" s="10">
        <f t="shared" si="4"/>
        <v>0.85702711797307995</v>
      </c>
    </row>
    <row r="48" spans="1:8" ht="14.25" customHeight="1" outlineLevel="1" x14ac:dyDescent="0.25">
      <c r="A48" s="78" t="s">
        <v>153</v>
      </c>
      <c r="B48" s="79">
        <v>1726100</v>
      </c>
      <c r="C48" s="79">
        <v>1696185</v>
      </c>
      <c r="D48" s="79">
        <f t="shared" si="5"/>
        <v>29915</v>
      </c>
      <c r="E48" s="79">
        <v>1696185</v>
      </c>
      <c r="F48" s="79">
        <f t="shared" si="6"/>
        <v>0</v>
      </c>
      <c r="G48" s="10">
        <f t="shared" si="2"/>
        <v>0.98266902265222178</v>
      </c>
      <c r="H48" s="10">
        <f t="shared" si="4"/>
        <v>0.98266902265222178</v>
      </c>
    </row>
    <row r="49" spans="1:8" ht="14.25" customHeight="1" outlineLevel="1" x14ac:dyDescent="0.25">
      <c r="A49" s="78" t="s">
        <v>154</v>
      </c>
      <c r="B49" s="79">
        <v>4128000</v>
      </c>
      <c r="C49" s="79">
        <v>3339383</v>
      </c>
      <c r="D49" s="79">
        <f t="shared" si="5"/>
        <v>788617</v>
      </c>
      <c r="E49" s="79">
        <v>3339383</v>
      </c>
      <c r="F49" s="79">
        <f t="shared" si="6"/>
        <v>0</v>
      </c>
      <c r="G49" s="10">
        <f t="shared" si="2"/>
        <v>0.80895906007751939</v>
      </c>
      <c r="H49" s="10">
        <f t="shared" si="4"/>
        <v>0.80895906007751939</v>
      </c>
    </row>
    <row r="50" spans="1:8" ht="14.25" customHeight="1" outlineLevel="1" x14ac:dyDescent="0.25">
      <c r="A50" s="78" t="s">
        <v>155</v>
      </c>
      <c r="B50" s="79">
        <v>99960</v>
      </c>
      <c r="C50" s="79">
        <v>99960</v>
      </c>
      <c r="D50" s="79">
        <f t="shared" si="5"/>
        <v>0</v>
      </c>
      <c r="E50" s="79">
        <v>99960</v>
      </c>
      <c r="F50" s="79">
        <f t="shared" si="6"/>
        <v>0</v>
      </c>
      <c r="G50" s="10">
        <f t="shared" si="2"/>
        <v>1</v>
      </c>
      <c r="H50" s="10">
        <f t="shared" si="4"/>
        <v>1</v>
      </c>
    </row>
    <row r="51" spans="1:8" ht="14.25" customHeight="1" outlineLevel="1" x14ac:dyDescent="0.25">
      <c r="A51" s="78" t="s">
        <v>156</v>
      </c>
      <c r="B51" s="79">
        <v>579000</v>
      </c>
      <c r="C51" s="79">
        <v>539963</v>
      </c>
      <c r="D51" s="79">
        <f t="shared" si="5"/>
        <v>39037</v>
      </c>
      <c r="E51" s="79">
        <v>539963</v>
      </c>
      <c r="F51" s="79">
        <f t="shared" si="6"/>
        <v>0</v>
      </c>
      <c r="G51" s="10">
        <f t="shared" si="2"/>
        <v>0.93257858376511227</v>
      </c>
      <c r="H51" s="10">
        <f t="shared" si="4"/>
        <v>0.93257858376511227</v>
      </c>
    </row>
    <row r="52" spans="1:8" ht="14.25" customHeight="1" outlineLevel="1" x14ac:dyDescent="0.25">
      <c r="A52" s="78" t="s">
        <v>157</v>
      </c>
      <c r="B52" s="79">
        <v>5900000</v>
      </c>
      <c r="C52" s="79">
        <v>5900000</v>
      </c>
      <c r="D52" s="79">
        <f t="shared" si="5"/>
        <v>0</v>
      </c>
      <c r="E52" s="79">
        <v>5900000</v>
      </c>
      <c r="F52" s="79">
        <f t="shared" si="6"/>
        <v>0</v>
      </c>
      <c r="G52" s="10">
        <f t="shared" si="2"/>
        <v>1</v>
      </c>
      <c r="H52" s="10">
        <f t="shared" si="4"/>
        <v>1</v>
      </c>
    </row>
    <row r="53" spans="1:8" ht="14.25" customHeight="1" outlineLevel="1" x14ac:dyDescent="0.25">
      <c r="A53" s="78" t="s">
        <v>158</v>
      </c>
      <c r="B53" s="79">
        <v>872865</v>
      </c>
      <c r="C53" s="79">
        <v>872865</v>
      </c>
      <c r="D53" s="79">
        <f t="shared" si="5"/>
        <v>0</v>
      </c>
      <c r="E53" s="79">
        <v>872865</v>
      </c>
      <c r="F53" s="79">
        <f t="shared" si="6"/>
        <v>0</v>
      </c>
      <c r="G53" s="10">
        <f t="shared" si="2"/>
        <v>1</v>
      </c>
      <c r="H53" s="10">
        <f t="shared" si="4"/>
        <v>1</v>
      </c>
    </row>
    <row r="54" spans="1:8" ht="14.25" customHeight="1" outlineLevel="1" x14ac:dyDescent="0.25">
      <c r="A54" s="78" t="s">
        <v>159</v>
      </c>
      <c r="B54" s="79">
        <v>3952000</v>
      </c>
      <c r="C54" s="79">
        <v>1314355</v>
      </c>
      <c r="D54" s="79">
        <f t="shared" si="5"/>
        <v>2637645</v>
      </c>
      <c r="E54" s="79">
        <v>1146565</v>
      </c>
      <c r="F54" s="79">
        <f t="shared" si="6"/>
        <v>167790</v>
      </c>
      <c r="G54" s="10">
        <f t="shared" si="2"/>
        <v>0.33257970647773277</v>
      </c>
      <c r="H54" s="10">
        <f t="shared" si="4"/>
        <v>0.29012272267206479</v>
      </c>
    </row>
    <row r="55" spans="1:8" ht="14.25" customHeight="1" outlineLevel="1" x14ac:dyDescent="0.25">
      <c r="A55" s="78" t="s">
        <v>160</v>
      </c>
      <c r="B55" s="79">
        <v>8925000</v>
      </c>
      <c r="C55" s="79">
        <v>8677084</v>
      </c>
      <c r="D55" s="79">
        <f t="shared" si="5"/>
        <v>247916</v>
      </c>
      <c r="E55" s="79">
        <v>8677084</v>
      </c>
      <c r="F55" s="79">
        <f t="shared" si="6"/>
        <v>0</v>
      </c>
      <c r="G55" s="10">
        <f t="shared" si="2"/>
        <v>0.97222229691876749</v>
      </c>
      <c r="H55" s="10">
        <f t="shared" si="4"/>
        <v>0.97222229691876749</v>
      </c>
    </row>
    <row r="56" spans="1:8" ht="14.25" customHeight="1" outlineLevel="1" x14ac:dyDescent="0.25">
      <c r="A56" s="78" t="s">
        <v>161</v>
      </c>
      <c r="B56" s="79">
        <v>1100367</v>
      </c>
      <c r="C56" s="79">
        <v>1100367</v>
      </c>
      <c r="D56" s="79">
        <f t="shared" si="5"/>
        <v>0</v>
      </c>
      <c r="E56" s="79">
        <v>1100367</v>
      </c>
      <c r="F56" s="79">
        <f t="shared" si="6"/>
        <v>0</v>
      </c>
      <c r="G56" s="10">
        <f t="shared" si="2"/>
        <v>1</v>
      </c>
      <c r="H56" s="10">
        <f t="shared" si="4"/>
        <v>1</v>
      </c>
    </row>
    <row r="57" spans="1:8" ht="14.25" customHeight="1" outlineLevel="1" x14ac:dyDescent="0.25">
      <c r="A57" s="78" t="s">
        <v>162</v>
      </c>
      <c r="B57" s="79">
        <v>671104</v>
      </c>
      <c r="C57" s="79">
        <v>671104</v>
      </c>
      <c r="D57" s="79">
        <f t="shared" si="5"/>
        <v>0</v>
      </c>
      <c r="E57" s="79">
        <v>671104</v>
      </c>
      <c r="F57" s="79">
        <f t="shared" si="6"/>
        <v>0</v>
      </c>
      <c r="G57" s="10">
        <f t="shared" si="2"/>
        <v>1</v>
      </c>
      <c r="H57" s="10">
        <f t="shared" si="4"/>
        <v>1</v>
      </c>
    </row>
    <row r="58" spans="1:8" ht="14.25" customHeight="1" outlineLevel="1" x14ac:dyDescent="0.25">
      <c r="A58" s="78" t="s">
        <v>163</v>
      </c>
      <c r="B58" s="79">
        <v>7167353</v>
      </c>
      <c r="C58" s="79">
        <v>7124561</v>
      </c>
      <c r="D58" s="79">
        <f t="shared" si="5"/>
        <v>42792</v>
      </c>
      <c r="E58" s="79">
        <v>7124561</v>
      </c>
      <c r="F58" s="79">
        <f t="shared" si="6"/>
        <v>0</v>
      </c>
      <c r="G58" s="10">
        <f t="shared" si="2"/>
        <v>0.99402959502622512</v>
      </c>
      <c r="H58" s="10">
        <f t="shared" si="4"/>
        <v>0.99402959502622512</v>
      </c>
    </row>
    <row r="59" spans="1:8" ht="14.25" customHeight="1" outlineLevel="1" x14ac:dyDescent="0.25">
      <c r="A59" s="78" t="s">
        <v>164</v>
      </c>
      <c r="B59" s="79">
        <v>1000000</v>
      </c>
      <c r="C59" s="79">
        <v>163030</v>
      </c>
      <c r="D59" s="79">
        <f t="shared" si="5"/>
        <v>836970</v>
      </c>
      <c r="E59" s="79">
        <v>163030</v>
      </c>
      <c r="F59" s="79">
        <f t="shared" si="6"/>
        <v>0</v>
      </c>
      <c r="G59" s="10">
        <f t="shared" si="2"/>
        <v>0.16303000000000001</v>
      </c>
      <c r="H59" s="10">
        <f t="shared" si="4"/>
        <v>0.16303000000000001</v>
      </c>
    </row>
    <row r="60" spans="1:8" ht="14.25" customHeight="1" outlineLevel="1" x14ac:dyDescent="0.25">
      <c r="A60" s="78" t="s">
        <v>165</v>
      </c>
      <c r="B60" s="79">
        <v>542200</v>
      </c>
      <c r="C60" s="79">
        <v>542200</v>
      </c>
      <c r="D60" s="79">
        <f t="shared" si="5"/>
        <v>0</v>
      </c>
      <c r="E60" s="79">
        <v>542200</v>
      </c>
      <c r="F60" s="79">
        <f t="shared" si="6"/>
        <v>0</v>
      </c>
      <c r="G60" s="10">
        <f t="shared" si="2"/>
        <v>1</v>
      </c>
      <c r="H60" s="10">
        <f t="shared" si="4"/>
        <v>1</v>
      </c>
    </row>
    <row r="61" spans="1:8" ht="14.25" customHeight="1" outlineLevel="1" x14ac:dyDescent="0.25">
      <c r="A61" s="78" t="s">
        <v>166</v>
      </c>
      <c r="B61" s="79">
        <v>1017850</v>
      </c>
      <c r="C61" s="79">
        <v>600950</v>
      </c>
      <c r="D61" s="79">
        <f t="shared" si="5"/>
        <v>416900</v>
      </c>
      <c r="E61" s="79">
        <v>600950</v>
      </c>
      <c r="F61" s="79">
        <f t="shared" si="6"/>
        <v>0</v>
      </c>
      <c r="G61" s="10">
        <f t="shared" si="2"/>
        <v>0.59041116078007561</v>
      </c>
      <c r="H61" s="10">
        <f t="shared" si="4"/>
        <v>0.59041116078007561</v>
      </c>
    </row>
    <row r="62" spans="1:8" ht="14.25" customHeight="1" outlineLevel="1" x14ac:dyDescent="0.25">
      <c r="A62" s="78" t="s">
        <v>168</v>
      </c>
      <c r="B62" s="79">
        <v>12846000</v>
      </c>
      <c r="C62" s="79">
        <v>5375111</v>
      </c>
      <c r="D62" s="79">
        <f t="shared" si="5"/>
        <v>7470889</v>
      </c>
      <c r="E62" s="79">
        <v>5375111</v>
      </c>
      <c r="F62" s="79">
        <f t="shared" si="6"/>
        <v>0</v>
      </c>
      <c r="G62" s="10">
        <f t="shared" si="2"/>
        <v>0.41842682547096371</v>
      </c>
      <c r="H62" s="10">
        <f t="shared" si="4"/>
        <v>0.41842682547096371</v>
      </c>
    </row>
    <row r="63" spans="1:8" ht="14.25" customHeight="1" x14ac:dyDescent="0.25">
      <c r="A63" s="80" t="s">
        <v>169</v>
      </c>
      <c r="B63" s="81">
        <f>SUM(B6:B45)</f>
        <v>4143817000</v>
      </c>
      <c r="C63" s="81">
        <f>SUM(C6:C45)</f>
        <v>3950020970</v>
      </c>
      <c r="D63" s="81">
        <f>SUM(D6:D45)</f>
        <v>193796030</v>
      </c>
      <c r="E63" s="81">
        <f>SUM(E6:E45)</f>
        <v>3869753634</v>
      </c>
      <c r="F63" s="81">
        <f>SUM(F6:F45)</f>
        <v>80267336</v>
      </c>
      <c r="G63" s="21">
        <f t="shared" si="2"/>
        <v>0.95323248348081013</v>
      </c>
      <c r="H63" s="21">
        <f t="shared" si="3"/>
        <v>0.93386209719203328</v>
      </c>
    </row>
  </sheetData>
  <mergeCells count="2">
    <mergeCell ref="A2:H2"/>
    <mergeCell ref="A3:H3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C00000"/>
  </sheetPr>
  <dimension ref="B4:R95"/>
  <sheetViews>
    <sheetView topLeftCell="B4" zoomScale="80" zoomScaleNormal="80" workbookViewId="0">
      <selection activeCell="B35" sqref="B35:R48"/>
    </sheetView>
  </sheetViews>
  <sheetFormatPr baseColWidth="10" defaultRowHeight="15" x14ac:dyDescent="0.25"/>
  <cols>
    <col min="1" max="1" width="0" hidden="1" customWidth="1"/>
    <col min="3" max="3" width="29" bestFit="1" customWidth="1"/>
    <col min="4" max="4" width="22.28515625" hidden="1" customWidth="1"/>
    <col min="5" max="5" width="11.42578125" hidden="1" customWidth="1"/>
    <col min="6" max="6" width="12.7109375" hidden="1" customWidth="1"/>
    <col min="7" max="7" width="11.42578125" hidden="1" customWidth="1"/>
    <col min="8" max="8" width="14.140625" hidden="1" customWidth="1"/>
    <col min="9" max="9" width="12.42578125" hidden="1" customWidth="1"/>
    <col min="10" max="11" width="14" hidden="1" customWidth="1"/>
    <col min="12" max="12" width="12.42578125" hidden="1" customWidth="1"/>
  </cols>
  <sheetData>
    <row r="4" spans="2:18" ht="15" customHeight="1" x14ac:dyDescent="0.25">
      <c r="B4" s="307" t="s">
        <v>98</v>
      </c>
      <c r="C4" s="307" t="s">
        <v>99</v>
      </c>
      <c r="D4" s="301" t="s">
        <v>176</v>
      </c>
      <c r="E4" s="302"/>
      <c r="F4" s="303"/>
      <c r="G4" s="301" t="s">
        <v>177</v>
      </c>
      <c r="H4" s="302"/>
      <c r="I4" s="303"/>
      <c r="J4" s="301" t="s">
        <v>22</v>
      </c>
      <c r="K4" s="302"/>
      <c r="L4" s="303"/>
      <c r="P4" s="84"/>
      <c r="Q4" s="84"/>
      <c r="R4" s="84"/>
    </row>
    <row r="5" spans="2:18" ht="15" customHeight="1" x14ac:dyDescent="0.25">
      <c r="B5" s="311"/>
      <c r="C5" s="311"/>
      <c r="D5" s="304" t="s">
        <v>94</v>
      </c>
      <c r="E5" s="305"/>
      <c r="F5" s="306"/>
      <c r="G5" s="304" t="s">
        <v>100</v>
      </c>
      <c r="H5" s="305"/>
      <c r="I5" s="306"/>
      <c r="J5" s="304" t="s">
        <v>94</v>
      </c>
      <c r="K5" s="305"/>
      <c r="L5" s="306"/>
      <c r="P5" s="84"/>
      <c r="Q5" s="84"/>
      <c r="R5" s="84"/>
    </row>
    <row r="6" spans="2:18" ht="15" customHeight="1" x14ac:dyDescent="0.25">
      <c r="B6" s="311"/>
      <c r="C6" s="311"/>
      <c r="D6" s="307" t="s">
        <v>2</v>
      </c>
      <c r="E6" s="307" t="s">
        <v>97</v>
      </c>
      <c r="F6" s="53" t="s">
        <v>101</v>
      </c>
      <c r="G6" s="307" t="s">
        <v>2</v>
      </c>
      <c r="H6" s="307" t="s">
        <v>97</v>
      </c>
      <c r="I6" s="53" t="s">
        <v>101</v>
      </c>
      <c r="J6" s="307" t="s">
        <v>2</v>
      </c>
      <c r="K6" s="307" t="s">
        <v>97</v>
      </c>
      <c r="L6" s="53" t="s">
        <v>101</v>
      </c>
      <c r="P6" s="84"/>
      <c r="Q6" s="84"/>
      <c r="R6" s="84"/>
    </row>
    <row r="7" spans="2:18" x14ac:dyDescent="0.25">
      <c r="B7" s="308"/>
      <c r="C7" s="308"/>
      <c r="D7" s="308"/>
      <c r="E7" s="308"/>
      <c r="F7" s="54" t="s">
        <v>97</v>
      </c>
      <c r="G7" s="308"/>
      <c r="H7" s="308"/>
      <c r="I7" s="54" t="s">
        <v>97</v>
      </c>
      <c r="J7" s="308"/>
      <c r="K7" s="308"/>
      <c r="L7" s="54" t="s">
        <v>97</v>
      </c>
      <c r="P7" s="84"/>
      <c r="Q7" s="84"/>
      <c r="R7" s="84"/>
    </row>
    <row r="8" spans="2:18" x14ac:dyDescent="0.25">
      <c r="B8" s="55">
        <v>21</v>
      </c>
      <c r="C8" s="56" t="s">
        <v>9</v>
      </c>
      <c r="D8" s="57">
        <f>+'01-01'!D29</f>
        <v>24357187.000000026</v>
      </c>
      <c r="E8" s="57">
        <f>+'01-01'!G29</f>
        <v>23946932.673000015</v>
      </c>
      <c r="F8" s="59">
        <f>E8/D8</f>
        <v>0.98315674437282063</v>
      </c>
      <c r="G8" s="57">
        <f>+'01-02'!D17</f>
        <v>4137273.9999999995</v>
      </c>
      <c r="H8" s="57">
        <f>+'01-02'!G17</f>
        <v>3771981.7020000019</v>
      </c>
      <c r="I8" s="61">
        <f>H8/G8</f>
        <v>0.91170700852783793</v>
      </c>
      <c r="J8" s="83">
        <f>+D8+G8</f>
        <v>28494461.000000026</v>
      </c>
      <c r="K8" s="83">
        <f>+E8+H8</f>
        <v>27718914.375000019</v>
      </c>
      <c r="L8" s="61">
        <f>+K8/J8</f>
        <v>0.97278254798362362</v>
      </c>
      <c r="M8" s="57">
        <f>E8/1000</f>
        <v>23946.932673000014</v>
      </c>
      <c r="P8" s="85"/>
      <c r="Q8" s="85"/>
      <c r="R8" s="85"/>
    </row>
    <row r="9" spans="2:18" x14ac:dyDescent="0.25">
      <c r="B9" s="55">
        <v>22</v>
      </c>
      <c r="C9" s="56" t="s">
        <v>10</v>
      </c>
      <c r="D9" s="57">
        <f>+'01-01'!D38</f>
        <v>4734133.9999999981</v>
      </c>
      <c r="E9" s="57">
        <f>+'01-01'!G38</f>
        <v>4468330.2169999983</v>
      </c>
      <c r="F9" s="59">
        <f t="shared" ref="F9:F18" si="0">E9/D9</f>
        <v>0.94385376860900005</v>
      </c>
      <c r="G9" s="57">
        <f>+'01-02'!D25</f>
        <v>199047</v>
      </c>
      <c r="H9" s="57">
        <f>+'01-02'!G25</f>
        <v>150411.01599999997</v>
      </c>
      <c r="I9" s="61">
        <f>H9/G9</f>
        <v>0.75565577979070253</v>
      </c>
      <c r="J9" s="83">
        <f t="shared" ref="J9:J17" si="1">+D9+G9</f>
        <v>4933180.9999999981</v>
      </c>
      <c r="K9" s="83">
        <f t="shared" ref="K9:K17" si="2">+E9+H9</f>
        <v>4618741.2329999981</v>
      </c>
      <c r="L9" s="61">
        <f t="shared" ref="L9:L17" si="3">+K9/J9</f>
        <v>0.9362602412115022</v>
      </c>
      <c r="M9" s="57">
        <f t="shared" ref="M9:M17" si="4">E9/1000</f>
        <v>4468.3302169999979</v>
      </c>
      <c r="P9" s="85"/>
      <c r="Q9" s="85"/>
      <c r="R9" s="85"/>
    </row>
    <row r="10" spans="2:18" x14ac:dyDescent="0.25">
      <c r="B10" s="55">
        <v>23</v>
      </c>
      <c r="C10" s="56" t="s">
        <v>24</v>
      </c>
      <c r="D10" s="57">
        <f>+'01-01'!D39</f>
        <v>569134</v>
      </c>
      <c r="E10" s="83">
        <f>+'01-01'!G39</f>
        <v>569122.22499999998</v>
      </c>
      <c r="F10" s="59">
        <f t="shared" si="0"/>
        <v>0.99997931067200341</v>
      </c>
      <c r="G10" s="83">
        <v>0</v>
      </c>
      <c r="H10" s="83">
        <v>0</v>
      </c>
      <c r="I10" s="61" t="s">
        <v>85</v>
      </c>
      <c r="J10" s="83">
        <f t="shared" si="1"/>
        <v>569134</v>
      </c>
      <c r="K10" s="83">
        <f t="shared" si="2"/>
        <v>569122.22499999998</v>
      </c>
      <c r="L10" s="61">
        <f t="shared" si="3"/>
        <v>0.99997931067200341</v>
      </c>
      <c r="M10" s="83">
        <f t="shared" si="4"/>
        <v>569.12222499999996</v>
      </c>
      <c r="P10" s="85"/>
      <c r="Q10" s="85"/>
      <c r="R10" s="85"/>
    </row>
    <row r="11" spans="2:18" x14ac:dyDescent="0.25">
      <c r="B11" s="55">
        <v>24</v>
      </c>
      <c r="C11" s="56" t="s">
        <v>25</v>
      </c>
      <c r="D11" s="57">
        <f>+'01-01'!D40</f>
        <v>77825373.000000015</v>
      </c>
      <c r="E11" s="57">
        <f>+'01-01'!G40</f>
        <v>75157831.206999987</v>
      </c>
      <c r="F11" s="59">
        <f t="shared" si="0"/>
        <v>0.96572400889103316</v>
      </c>
      <c r="G11" s="57">
        <f>+'01-02'!D26</f>
        <v>46495005</v>
      </c>
      <c r="H11" s="57">
        <f>+'01-02'!G26</f>
        <v>45615663.862999998</v>
      </c>
      <c r="I11" s="61">
        <f t="shared" ref="I11:I17" si="5">H11/G11</f>
        <v>0.98108740633536862</v>
      </c>
      <c r="J11" s="83">
        <f t="shared" si="1"/>
        <v>124320378.00000001</v>
      </c>
      <c r="K11" s="83">
        <f t="shared" si="2"/>
        <v>120773495.06999999</v>
      </c>
      <c r="L11" s="61">
        <f t="shared" si="3"/>
        <v>0.97146981864871729</v>
      </c>
      <c r="M11" s="57">
        <f t="shared" si="4"/>
        <v>75157.831206999981</v>
      </c>
      <c r="P11" s="85"/>
      <c r="Q11" s="85"/>
      <c r="R11" s="85"/>
    </row>
    <row r="12" spans="2:18" x14ac:dyDescent="0.25">
      <c r="B12" s="55">
        <v>25</v>
      </c>
      <c r="C12" s="56" t="s">
        <v>63</v>
      </c>
      <c r="D12" s="57">
        <f>+'01-01'!D67</f>
        <v>1491542</v>
      </c>
      <c r="E12" s="83">
        <f>+'01-01'!G67</f>
        <v>1399602.8149999999</v>
      </c>
      <c r="F12" s="59">
        <f t="shared" si="0"/>
        <v>0.93835964055990373</v>
      </c>
      <c r="G12" s="83">
        <v>0</v>
      </c>
      <c r="H12" s="83">
        <v>0</v>
      </c>
      <c r="I12" s="61" t="s">
        <v>85</v>
      </c>
      <c r="J12" s="83">
        <f t="shared" si="1"/>
        <v>1491542</v>
      </c>
      <c r="K12" s="83">
        <f t="shared" si="2"/>
        <v>1399602.8149999999</v>
      </c>
      <c r="L12" s="61">
        <f t="shared" si="3"/>
        <v>0.93835964055990373</v>
      </c>
      <c r="M12" s="83">
        <f t="shared" si="4"/>
        <v>1399.602815</v>
      </c>
      <c r="P12" s="85"/>
      <c r="Q12" s="85"/>
      <c r="R12" s="85"/>
    </row>
    <row r="13" spans="2:18" ht="22.5" x14ac:dyDescent="0.25">
      <c r="B13" s="55">
        <v>29</v>
      </c>
      <c r="C13" s="56" t="s">
        <v>102</v>
      </c>
      <c r="D13" s="57">
        <f>+'01-01'!D68</f>
        <v>988324</v>
      </c>
      <c r="E13" s="57">
        <f>+'01-01'!G68</f>
        <v>877396.10499999998</v>
      </c>
      <c r="F13" s="59">
        <f t="shared" si="0"/>
        <v>0.88776160955314243</v>
      </c>
      <c r="G13" s="83">
        <v>0</v>
      </c>
      <c r="H13" s="83">
        <v>0</v>
      </c>
      <c r="I13" s="61" t="s">
        <v>85</v>
      </c>
      <c r="J13" s="83">
        <f t="shared" si="1"/>
        <v>988324</v>
      </c>
      <c r="K13" s="83">
        <f t="shared" si="2"/>
        <v>877396.10499999998</v>
      </c>
      <c r="L13" s="61">
        <f t="shared" si="3"/>
        <v>0.88776160955314243</v>
      </c>
      <c r="M13" s="57">
        <f t="shared" si="4"/>
        <v>877.39610500000003</v>
      </c>
      <c r="P13" s="85"/>
      <c r="Q13" s="85"/>
      <c r="R13" s="85"/>
    </row>
    <row r="14" spans="2:18" hidden="1" x14ac:dyDescent="0.25">
      <c r="B14" s="55">
        <v>30</v>
      </c>
      <c r="C14" s="56" t="s">
        <v>120</v>
      </c>
      <c r="D14" s="57"/>
      <c r="E14" s="57"/>
      <c r="F14" s="59" t="e">
        <f t="shared" si="0"/>
        <v>#DIV/0!</v>
      </c>
      <c r="G14" s="83"/>
      <c r="H14" s="83"/>
      <c r="I14" s="61" t="e">
        <f t="shared" si="5"/>
        <v>#DIV/0!</v>
      </c>
      <c r="J14" s="83">
        <f t="shared" si="1"/>
        <v>0</v>
      </c>
      <c r="K14" s="83">
        <f t="shared" si="2"/>
        <v>0</v>
      </c>
      <c r="L14" s="61" t="e">
        <f t="shared" si="3"/>
        <v>#DIV/0!</v>
      </c>
      <c r="M14" s="57">
        <f t="shared" si="4"/>
        <v>0</v>
      </c>
      <c r="P14" s="85"/>
      <c r="Q14" s="85"/>
      <c r="R14" s="85"/>
    </row>
    <row r="15" spans="2:18" x14ac:dyDescent="0.25">
      <c r="B15" s="55">
        <v>31</v>
      </c>
      <c r="C15" s="56" t="s">
        <v>103</v>
      </c>
      <c r="D15" s="57">
        <f>+'01-01'!D74</f>
        <v>2</v>
      </c>
      <c r="E15" s="83">
        <f>+'01-01'!G74</f>
        <v>0</v>
      </c>
      <c r="F15" s="59">
        <f t="shared" si="0"/>
        <v>0</v>
      </c>
      <c r="G15" s="83">
        <v>0</v>
      </c>
      <c r="H15" s="83">
        <v>0</v>
      </c>
      <c r="I15" s="61" t="s">
        <v>85</v>
      </c>
      <c r="J15" s="83">
        <f t="shared" si="1"/>
        <v>2</v>
      </c>
      <c r="K15" s="83">
        <f t="shared" si="2"/>
        <v>0</v>
      </c>
      <c r="L15" s="61">
        <f t="shared" si="3"/>
        <v>0</v>
      </c>
      <c r="M15" s="83">
        <f t="shared" si="4"/>
        <v>0</v>
      </c>
      <c r="P15" s="85"/>
      <c r="Q15" s="85"/>
      <c r="R15" s="85"/>
    </row>
    <row r="16" spans="2:18" x14ac:dyDescent="0.25">
      <c r="B16" s="55">
        <v>33</v>
      </c>
      <c r="C16" s="56" t="s">
        <v>66</v>
      </c>
      <c r="D16" s="57">
        <f>+'01-01'!D76</f>
        <v>0</v>
      </c>
      <c r="E16" s="83">
        <f>+'01-01'!G76</f>
        <v>0</v>
      </c>
      <c r="F16" s="59" t="e">
        <f t="shared" si="0"/>
        <v>#DIV/0!</v>
      </c>
      <c r="G16" s="83">
        <v>0</v>
      </c>
      <c r="H16" s="83">
        <v>0</v>
      </c>
      <c r="I16" s="61" t="s">
        <v>85</v>
      </c>
      <c r="J16" s="83">
        <f t="shared" si="1"/>
        <v>0</v>
      </c>
      <c r="K16" s="83">
        <f t="shared" si="2"/>
        <v>0</v>
      </c>
      <c r="L16" s="61" t="e">
        <f t="shared" si="3"/>
        <v>#DIV/0!</v>
      </c>
      <c r="M16" s="83">
        <f t="shared" si="4"/>
        <v>0</v>
      </c>
      <c r="P16" s="85"/>
      <c r="Q16" s="85"/>
      <c r="R16" s="85"/>
    </row>
    <row r="17" spans="2:18" x14ac:dyDescent="0.25">
      <c r="B17" s="55">
        <v>34</v>
      </c>
      <c r="C17" s="56" t="s">
        <v>70</v>
      </c>
      <c r="D17" s="57">
        <f>+'01-01'!D79</f>
        <v>14805424</v>
      </c>
      <c r="E17" s="57">
        <f>+'01-01'!G79</f>
        <v>14796466.822000001</v>
      </c>
      <c r="F17" s="59">
        <f t="shared" si="0"/>
        <v>0.9993950069920321</v>
      </c>
      <c r="G17" s="57">
        <f>+'01-02'!D35</f>
        <v>2565477</v>
      </c>
      <c r="H17" s="57">
        <f>+'01-02'!G35</f>
        <v>2565475.1529999999</v>
      </c>
      <c r="I17" s="61">
        <f t="shared" si="5"/>
        <v>0.99999928005591165</v>
      </c>
      <c r="J17" s="83">
        <f t="shared" si="1"/>
        <v>17370901</v>
      </c>
      <c r="K17" s="83">
        <f t="shared" si="2"/>
        <v>17361941.975000001</v>
      </c>
      <c r="L17" s="61">
        <f t="shared" si="3"/>
        <v>0.99948425098962923</v>
      </c>
      <c r="M17" s="57">
        <f t="shared" si="4"/>
        <v>14796.466822</v>
      </c>
      <c r="P17" s="85"/>
      <c r="Q17" s="85"/>
      <c r="R17" s="85"/>
    </row>
    <row r="18" spans="2:18" x14ac:dyDescent="0.25">
      <c r="B18" s="309" t="s">
        <v>83</v>
      </c>
      <c r="C18" s="310"/>
      <c r="D18" s="58">
        <f>SUM(D8:D17)</f>
        <v>124771120.00000003</v>
      </c>
      <c r="E18" s="58">
        <f>SUM(E8:E17)</f>
        <v>121215682.064</v>
      </c>
      <c r="F18" s="62">
        <f t="shared" si="0"/>
        <v>0.97150431978169283</v>
      </c>
      <c r="G18" s="58">
        <f>SUM(G8:G17)</f>
        <v>53396803</v>
      </c>
      <c r="H18" s="58">
        <f>SUM(H8:H17)</f>
        <v>52103531.733999997</v>
      </c>
      <c r="I18" s="62">
        <f>H18/G18</f>
        <v>0.97577998694041657</v>
      </c>
      <c r="J18" s="58">
        <f>SUM(J8:J17)</f>
        <v>178167923.00000003</v>
      </c>
      <c r="K18" s="58">
        <f>SUM(K8:K17)</f>
        <v>173319213.79799998</v>
      </c>
      <c r="L18" s="62">
        <f>K18/J18</f>
        <v>0.97278573426485948</v>
      </c>
      <c r="P18" s="86"/>
      <c r="Q18" s="86"/>
      <c r="R18" s="86"/>
    </row>
    <row r="19" spans="2:18" x14ac:dyDescent="0.25">
      <c r="D19" s="90"/>
      <c r="E19" s="90"/>
      <c r="F19" s="90"/>
      <c r="G19" s="90"/>
      <c r="H19" s="90"/>
      <c r="I19" s="90"/>
      <c r="J19" s="90"/>
      <c r="K19" s="90"/>
      <c r="L19" s="90"/>
      <c r="M19" s="90"/>
      <c r="N19" s="90"/>
      <c r="O19" s="90"/>
    </row>
    <row r="22" spans="2:18" x14ac:dyDescent="0.25">
      <c r="B22" s="307" t="s">
        <v>98</v>
      </c>
      <c r="C22" s="307" t="s">
        <v>99</v>
      </c>
      <c r="D22" s="301" t="s">
        <v>176</v>
      </c>
      <c r="E22" s="302"/>
      <c r="F22" s="303"/>
    </row>
    <row r="23" spans="2:18" ht="25.5" customHeight="1" x14ac:dyDescent="0.25">
      <c r="B23" s="311"/>
      <c r="C23" s="311"/>
      <c r="D23" s="304" t="s">
        <v>104</v>
      </c>
      <c r="E23" s="305"/>
      <c r="F23" s="306"/>
    </row>
    <row r="24" spans="2:18" x14ac:dyDescent="0.25">
      <c r="B24" s="311"/>
      <c r="C24" s="311"/>
      <c r="D24" s="307" t="s">
        <v>2</v>
      </c>
      <c r="E24" s="307" t="s">
        <v>97</v>
      </c>
      <c r="F24" s="53" t="s">
        <v>101</v>
      </c>
    </row>
    <row r="25" spans="2:18" x14ac:dyDescent="0.25">
      <c r="B25" s="308"/>
      <c r="C25" s="308"/>
      <c r="D25" s="308"/>
      <c r="E25" s="308"/>
      <c r="F25" s="54" t="s">
        <v>97</v>
      </c>
    </row>
    <row r="26" spans="2:18" x14ac:dyDescent="0.25">
      <c r="B26" s="55">
        <v>21</v>
      </c>
      <c r="C26" s="56" t="s">
        <v>9</v>
      </c>
      <c r="D26" s="57">
        <v>1528637</v>
      </c>
      <c r="E26" s="57">
        <v>1523061</v>
      </c>
      <c r="F26" s="59">
        <f>E26/D26</f>
        <v>0.99635230600855529</v>
      </c>
    </row>
    <row r="27" spans="2:18" x14ac:dyDescent="0.25">
      <c r="B27" s="55">
        <v>22</v>
      </c>
      <c r="C27" s="56" t="s">
        <v>10</v>
      </c>
      <c r="D27" s="57">
        <v>1201121</v>
      </c>
      <c r="E27" s="57">
        <v>1200510</v>
      </c>
      <c r="F27" s="59">
        <f t="shared" ref="F27:F32" si="6">E27/D27</f>
        <v>0.9994913085359427</v>
      </c>
    </row>
    <row r="28" spans="2:18" x14ac:dyDescent="0.25">
      <c r="B28" s="55">
        <v>24</v>
      </c>
      <c r="C28" s="56" t="s">
        <v>25</v>
      </c>
      <c r="D28" s="57">
        <v>195166</v>
      </c>
      <c r="E28" s="57">
        <v>192591</v>
      </c>
      <c r="F28" s="59">
        <f t="shared" si="6"/>
        <v>0.98680610352212983</v>
      </c>
    </row>
    <row r="29" spans="2:18" x14ac:dyDescent="0.25">
      <c r="B29" s="88" t="s">
        <v>170</v>
      </c>
      <c r="C29" s="56" t="s">
        <v>63</v>
      </c>
      <c r="D29" s="57">
        <v>120236</v>
      </c>
      <c r="E29" s="83">
        <v>120205</v>
      </c>
      <c r="F29" s="59">
        <f t="shared" si="6"/>
        <v>0.99974217372500751</v>
      </c>
    </row>
    <row r="30" spans="2:18" ht="22.5" x14ac:dyDescent="0.25">
      <c r="B30" s="55">
        <v>29</v>
      </c>
      <c r="C30" s="56" t="s">
        <v>102</v>
      </c>
      <c r="D30" s="57">
        <v>62122</v>
      </c>
      <c r="E30" s="83">
        <v>59104</v>
      </c>
      <c r="F30" s="59">
        <f t="shared" si="6"/>
        <v>0.9514181771353144</v>
      </c>
    </row>
    <row r="31" spans="2:18" x14ac:dyDescent="0.25">
      <c r="B31" s="55">
        <v>34</v>
      </c>
      <c r="C31" s="56" t="s">
        <v>70</v>
      </c>
      <c r="D31" s="57">
        <v>158273</v>
      </c>
      <c r="E31" s="83">
        <v>158272</v>
      </c>
      <c r="F31" s="59">
        <f t="shared" si="6"/>
        <v>0.99999368180296067</v>
      </c>
    </row>
    <row r="32" spans="2:18" x14ac:dyDescent="0.25">
      <c r="B32" s="309" t="s">
        <v>83</v>
      </c>
      <c r="C32" s="310"/>
      <c r="D32" s="58">
        <f>SUM(D26:D31)</f>
        <v>3265555</v>
      </c>
      <c r="E32" s="58">
        <f>SUM(E26:E31)</f>
        <v>3253743</v>
      </c>
      <c r="F32" s="89">
        <f t="shared" si="6"/>
        <v>0.99638285069459864</v>
      </c>
    </row>
    <row r="35" spans="2:18" x14ac:dyDescent="0.25">
      <c r="B35" s="307" t="s">
        <v>98</v>
      </c>
      <c r="C35" s="307" t="s">
        <v>99</v>
      </c>
      <c r="D35" s="301" t="s">
        <v>176</v>
      </c>
      <c r="E35" s="302"/>
      <c r="F35" s="303"/>
      <c r="G35" s="301" t="s">
        <v>177</v>
      </c>
      <c r="H35" s="302"/>
      <c r="I35" s="303"/>
      <c r="J35" s="301" t="s">
        <v>178</v>
      </c>
      <c r="K35" s="302"/>
      <c r="L35" s="303"/>
      <c r="M35" s="301" t="s">
        <v>174</v>
      </c>
      <c r="N35" s="302"/>
      <c r="O35" s="303"/>
      <c r="P35" s="301" t="s">
        <v>22</v>
      </c>
      <c r="Q35" s="302"/>
      <c r="R35" s="303"/>
    </row>
    <row r="36" spans="2:18" ht="16.5" customHeight="1" x14ac:dyDescent="0.25">
      <c r="B36" s="311"/>
      <c r="C36" s="311"/>
      <c r="D36" s="304" t="s">
        <v>105</v>
      </c>
      <c r="E36" s="305"/>
      <c r="F36" s="306"/>
      <c r="G36" s="304" t="s">
        <v>106</v>
      </c>
      <c r="H36" s="305"/>
      <c r="I36" s="306"/>
      <c r="J36" s="304" t="s">
        <v>107</v>
      </c>
      <c r="K36" s="305"/>
      <c r="L36" s="306"/>
      <c r="M36" s="304" t="s">
        <v>175</v>
      </c>
      <c r="N36" s="305"/>
      <c r="O36" s="306"/>
      <c r="P36" s="304" t="s">
        <v>105</v>
      </c>
      <c r="Q36" s="305"/>
      <c r="R36" s="306"/>
    </row>
    <row r="37" spans="2:18" x14ac:dyDescent="0.25">
      <c r="B37" s="311"/>
      <c r="C37" s="311"/>
      <c r="D37" s="307" t="s">
        <v>2</v>
      </c>
      <c r="E37" s="307" t="s">
        <v>97</v>
      </c>
      <c r="F37" s="53" t="s">
        <v>101</v>
      </c>
      <c r="G37" s="307" t="s">
        <v>2</v>
      </c>
      <c r="H37" s="307" t="s">
        <v>97</v>
      </c>
      <c r="I37" s="53" t="s">
        <v>101</v>
      </c>
      <c r="J37" s="307" t="s">
        <v>2</v>
      </c>
      <c r="K37" s="307" t="s">
        <v>97</v>
      </c>
      <c r="L37" s="53" t="s">
        <v>101</v>
      </c>
      <c r="M37" s="307" t="s">
        <v>2</v>
      </c>
      <c r="N37" s="307" t="s">
        <v>97</v>
      </c>
      <c r="O37" s="53" t="s">
        <v>101</v>
      </c>
      <c r="P37" s="307" t="s">
        <v>2</v>
      </c>
      <c r="Q37" s="307" t="s">
        <v>97</v>
      </c>
      <c r="R37" s="53" t="s">
        <v>101</v>
      </c>
    </row>
    <row r="38" spans="2:18" x14ac:dyDescent="0.25">
      <c r="B38" s="308"/>
      <c r="C38" s="308"/>
      <c r="D38" s="308"/>
      <c r="E38" s="308"/>
      <c r="F38" s="54" t="s">
        <v>97</v>
      </c>
      <c r="G38" s="308"/>
      <c r="H38" s="308"/>
      <c r="I38" s="54" t="s">
        <v>97</v>
      </c>
      <c r="J38" s="308"/>
      <c r="K38" s="308"/>
      <c r="L38" s="54" t="s">
        <v>97</v>
      </c>
      <c r="M38" s="308"/>
      <c r="N38" s="308"/>
      <c r="O38" s="54" t="s">
        <v>97</v>
      </c>
      <c r="P38" s="308"/>
      <c r="Q38" s="308"/>
      <c r="R38" s="54" t="s">
        <v>97</v>
      </c>
    </row>
    <row r="39" spans="2:18" x14ac:dyDescent="0.25">
      <c r="B39" s="55">
        <v>21</v>
      </c>
      <c r="C39" s="56" t="s">
        <v>9</v>
      </c>
      <c r="D39" s="57">
        <v>33658933</v>
      </c>
      <c r="E39" s="57">
        <v>33558874</v>
      </c>
      <c r="F39" s="61">
        <f>E39/D39</f>
        <v>0.99702726762015892</v>
      </c>
      <c r="G39" s="57">
        <v>1731391</v>
      </c>
      <c r="H39" s="57">
        <v>1720076</v>
      </c>
      <c r="I39" s="61">
        <f>H39/G39</f>
        <v>0.99346479218154649</v>
      </c>
      <c r="J39" s="57">
        <v>5811377</v>
      </c>
      <c r="K39" s="57">
        <v>5768959</v>
      </c>
      <c r="L39" s="61">
        <f>K39/J39</f>
        <v>0.99270086934645607</v>
      </c>
      <c r="M39" s="57">
        <v>4315185</v>
      </c>
      <c r="N39" s="57">
        <v>4225117</v>
      </c>
      <c r="O39" s="59">
        <f>+N39/M39</f>
        <v>0.97912766196582535</v>
      </c>
      <c r="P39" s="57">
        <f>+D39+G39+J39+M39</f>
        <v>45516886</v>
      </c>
      <c r="Q39" s="57">
        <f>+E39+H39+K39+N39</f>
        <v>45273026</v>
      </c>
      <c r="R39" s="61">
        <f>Q39/P39</f>
        <v>0.99464242786731938</v>
      </c>
    </row>
    <row r="40" spans="2:18" x14ac:dyDescent="0.25">
      <c r="B40" s="55">
        <v>22</v>
      </c>
      <c r="C40" s="56" t="s">
        <v>10</v>
      </c>
      <c r="D40" s="57">
        <v>8354232</v>
      </c>
      <c r="E40" s="57">
        <v>8281379</v>
      </c>
      <c r="F40" s="61">
        <f t="shared" ref="F40:F48" si="7">E40/D40</f>
        <v>0.99127950959465816</v>
      </c>
      <c r="G40" s="57">
        <v>5295542</v>
      </c>
      <c r="H40" s="57">
        <v>5294072</v>
      </c>
      <c r="I40" s="61">
        <f t="shared" ref="I40:I47" si="8">H40/G40</f>
        <v>0.9997224080179139</v>
      </c>
      <c r="J40" s="57">
        <v>1801264</v>
      </c>
      <c r="K40" s="57">
        <v>1681343</v>
      </c>
      <c r="L40" s="61">
        <f t="shared" ref="L40:L47" si="9">K40/J40</f>
        <v>0.93342397338757677</v>
      </c>
      <c r="M40" s="57">
        <v>1570983</v>
      </c>
      <c r="N40" s="57">
        <v>1436664</v>
      </c>
      <c r="O40" s="59">
        <f t="shared" ref="O40:O45" si="10">+N40/M40</f>
        <v>0.91450002959930188</v>
      </c>
      <c r="P40" s="57">
        <f t="shared" ref="P40:P47" si="11">+D40+G40+J40+M40</f>
        <v>17022021</v>
      </c>
      <c r="Q40" s="57">
        <f t="shared" ref="Q40:Q47" si="12">+E40+H40+K40+N40</f>
        <v>16693458</v>
      </c>
      <c r="R40" s="61">
        <f t="shared" ref="R40:R48" si="13">Q40/P40</f>
        <v>0.98069776790899266</v>
      </c>
    </row>
    <row r="41" spans="2:18" x14ac:dyDescent="0.25">
      <c r="B41" s="55">
        <v>23</v>
      </c>
      <c r="C41" s="56" t="s">
        <v>24</v>
      </c>
      <c r="D41" s="83">
        <v>1003199</v>
      </c>
      <c r="E41" s="83">
        <v>1001799</v>
      </c>
      <c r="F41" s="61">
        <f t="shared" si="7"/>
        <v>0.99860446431864469</v>
      </c>
      <c r="G41" s="83">
        <v>0</v>
      </c>
      <c r="H41" s="83">
        <v>0</v>
      </c>
      <c r="I41" s="61" t="s">
        <v>85</v>
      </c>
      <c r="J41" s="83">
        <v>0</v>
      </c>
      <c r="K41" s="83">
        <v>0</v>
      </c>
      <c r="L41" s="61" t="s">
        <v>85</v>
      </c>
      <c r="M41" s="83">
        <v>0</v>
      </c>
      <c r="N41" s="83">
        <v>0</v>
      </c>
      <c r="O41" s="59" t="e">
        <f t="shared" si="10"/>
        <v>#DIV/0!</v>
      </c>
      <c r="P41" s="57">
        <f t="shared" si="11"/>
        <v>1003199</v>
      </c>
      <c r="Q41" s="57">
        <f t="shared" si="12"/>
        <v>1001799</v>
      </c>
      <c r="R41" s="61">
        <f t="shared" si="13"/>
        <v>0.99860446431864469</v>
      </c>
    </row>
    <row r="42" spans="2:18" x14ac:dyDescent="0.25">
      <c r="B42" s="55">
        <v>24</v>
      </c>
      <c r="C42" s="56" t="s">
        <v>25</v>
      </c>
      <c r="D42" s="57">
        <v>13982306</v>
      </c>
      <c r="E42" s="57">
        <v>13545635</v>
      </c>
      <c r="F42" s="61">
        <f t="shared" si="7"/>
        <v>0.96876974370322033</v>
      </c>
      <c r="G42" s="83">
        <v>0</v>
      </c>
      <c r="H42" s="83">
        <v>0</v>
      </c>
      <c r="I42" s="61" t="s">
        <v>85</v>
      </c>
      <c r="J42" s="83">
        <v>85926</v>
      </c>
      <c r="K42" s="83">
        <v>80936</v>
      </c>
      <c r="L42" s="61">
        <f t="shared" si="9"/>
        <v>0.94192677420105675</v>
      </c>
      <c r="M42" s="57">
        <v>635884</v>
      </c>
      <c r="N42" s="57">
        <v>619824</v>
      </c>
      <c r="O42" s="59">
        <f t="shared" si="10"/>
        <v>0.97474382120009306</v>
      </c>
      <c r="P42" s="57">
        <f t="shared" si="11"/>
        <v>14704116</v>
      </c>
      <c r="Q42" s="57">
        <f t="shared" si="12"/>
        <v>14246395</v>
      </c>
      <c r="R42" s="61">
        <f t="shared" si="13"/>
        <v>0.96887123306154543</v>
      </c>
    </row>
    <row r="43" spans="2:18" x14ac:dyDescent="0.25">
      <c r="B43" s="55">
        <v>25</v>
      </c>
      <c r="C43" s="56" t="s">
        <v>63</v>
      </c>
      <c r="D43" s="57">
        <v>1010249</v>
      </c>
      <c r="E43" s="57">
        <v>977752</v>
      </c>
      <c r="F43" s="61">
        <f t="shared" si="7"/>
        <v>0.96783268283363799</v>
      </c>
      <c r="G43" s="57">
        <v>450241</v>
      </c>
      <c r="H43" s="57">
        <v>448949</v>
      </c>
      <c r="I43" s="61">
        <f t="shared" si="8"/>
        <v>0.99713042570534449</v>
      </c>
      <c r="J43" s="83">
        <v>13984</v>
      </c>
      <c r="K43" s="83">
        <v>13984</v>
      </c>
      <c r="L43" s="61">
        <f t="shared" si="9"/>
        <v>1</v>
      </c>
      <c r="M43" s="60">
        <v>1450</v>
      </c>
      <c r="N43" s="60">
        <v>0</v>
      </c>
      <c r="O43" s="59" t="s">
        <v>85</v>
      </c>
      <c r="P43" s="57">
        <f t="shared" si="11"/>
        <v>1475924</v>
      </c>
      <c r="Q43" s="57">
        <f t="shared" si="12"/>
        <v>1440685</v>
      </c>
      <c r="R43" s="61">
        <f t="shared" si="13"/>
        <v>0.9761241093714853</v>
      </c>
    </row>
    <row r="44" spans="2:18" ht="15" customHeight="1" x14ac:dyDescent="0.25">
      <c r="B44" s="55">
        <v>29</v>
      </c>
      <c r="C44" s="56" t="s">
        <v>102</v>
      </c>
      <c r="D44" s="57">
        <v>1613303</v>
      </c>
      <c r="E44" s="57">
        <v>1550023</v>
      </c>
      <c r="F44" s="61">
        <f t="shared" si="7"/>
        <v>0.96077612203039353</v>
      </c>
      <c r="G44" s="57">
        <v>53607</v>
      </c>
      <c r="H44" s="83">
        <v>9757</v>
      </c>
      <c r="I44" s="61">
        <f t="shared" si="8"/>
        <v>0.18200981215139814</v>
      </c>
      <c r="J44" s="57">
        <v>82550</v>
      </c>
      <c r="K44" s="57">
        <v>77643</v>
      </c>
      <c r="L44" s="61">
        <f t="shared" si="9"/>
        <v>0.94055723803755298</v>
      </c>
      <c r="M44" s="57">
        <v>127510</v>
      </c>
      <c r="N44" s="60">
        <v>118603</v>
      </c>
      <c r="O44" s="59">
        <f t="shared" si="10"/>
        <v>0.93014665516430084</v>
      </c>
      <c r="P44" s="57">
        <f t="shared" si="11"/>
        <v>1876970</v>
      </c>
      <c r="Q44" s="57">
        <f t="shared" si="12"/>
        <v>1756026</v>
      </c>
      <c r="R44" s="61">
        <f t="shared" si="13"/>
        <v>0.93556423384497356</v>
      </c>
    </row>
    <row r="45" spans="2:18" x14ac:dyDescent="0.25">
      <c r="B45" s="55">
        <v>31</v>
      </c>
      <c r="C45" s="56" t="s">
        <v>103</v>
      </c>
      <c r="D45" s="57">
        <v>4184365</v>
      </c>
      <c r="E45" s="83">
        <v>3963118</v>
      </c>
      <c r="F45" s="61">
        <f t="shared" si="7"/>
        <v>0.94712531053098858</v>
      </c>
      <c r="G45" s="83">
        <v>0</v>
      </c>
      <c r="H45" s="83">
        <v>0</v>
      </c>
      <c r="I45" s="61" t="s">
        <v>85</v>
      </c>
      <c r="J45" s="83">
        <v>0</v>
      </c>
      <c r="K45" s="83">
        <v>0</v>
      </c>
      <c r="L45" s="61" t="s">
        <v>85</v>
      </c>
      <c r="M45" s="57">
        <v>1402021</v>
      </c>
      <c r="N45" s="60">
        <v>1400643</v>
      </c>
      <c r="O45" s="59">
        <f t="shared" si="10"/>
        <v>0.99901713312425422</v>
      </c>
      <c r="P45" s="57">
        <f t="shared" si="11"/>
        <v>5586386</v>
      </c>
      <c r="Q45" s="57">
        <f t="shared" si="12"/>
        <v>5363761</v>
      </c>
      <c r="R45" s="61">
        <f t="shared" si="13"/>
        <v>0.96014865424623363</v>
      </c>
    </row>
    <row r="46" spans="2:18" x14ac:dyDescent="0.25">
      <c r="B46" s="55">
        <v>33</v>
      </c>
      <c r="C46" s="56" t="s">
        <v>66</v>
      </c>
      <c r="D46" s="57">
        <v>8296651</v>
      </c>
      <c r="E46" s="57">
        <v>8180843</v>
      </c>
      <c r="F46" s="61">
        <f t="shared" si="7"/>
        <v>0.98604159678405179</v>
      </c>
      <c r="G46" s="83">
        <v>0</v>
      </c>
      <c r="H46" s="83">
        <v>0</v>
      </c>
      <c r="I46" s="61" t="s">
        <v>85</v>
      </c>
      <c r="J46" s="83">
        <v>0</v>
      </c>
      <c r="K46" s="83">
        <v>0</v>
      </c>
      <c r="L46" s="61" t="s">
        <v>85</v>
      </c>
      <c r="M46" s="83">
        <v>0</v>
      </c>
      <c r="N46" s="83">
        <v>0</v>
      </c>
      <c r="O46" s="59" t="s">
        <v>85</v>
      </c>
      <c r="P46" s="57">
        <f t="shared" si="11"/>
        <v>8296651</v>
      </c>
      <c r="Q46" s="57">
        <f t="shared" si="12"/>
        <v>8180843</v>
      </c>
      <c r="R46" s="61">
        <f t="shared" si="13"/>
        <v>0.98604159678405179</v>
      </c>
    </row>
    <row r="47" spans="2:18" x14ac:dyDescent="0.25">
      <c r="B47" s="55">
        <v>34</v>
      </c>
      <c r="C47" s="56" t="s">
        <v>70</v>
      </c>
      <c r="D47" s="57">
        <v>3491668</v>
      </c>
      <c r="E47" s="57">
        <v>3490967</v>
      </c>
      <c r="F47" s="61">
        <f t="shared" si="7"/>
        <v>0.99979923635351353</v>
      </c>
      <c r="G47" s="57">
        <v>300424</v>
      </c>
      <c r="H47" s="57">
        <v>300424</v>
      </c>
      <c r="I47" s="61">
        <f t="shared" si="8"/>
        <v>1</v>
      </c>
      <c r="J47" s="57">
        <v>157181</v>
      </c>
      <c r="K47" s="57">
        <v>157182</v>
      </c>
      <c r="L47" s="61">
        <f t="shared" si="9"/>
        <v>1.0000063620921105</v>
      </c>
      <c r="M47" s="83">
        <v>386204</v>
      </c>
      <c r="N47" s="83">
        <v>386203</v>
      </c>
      <c r="O47" s="59" t="s">
        <v>85</v>
      </c>
      <c r="P47" s="57">
        <f t="shared" si="11"/>
        <v>4335477</v>
      </c>
      <c r="Q47" s="57">
        <f t="shared" si="12"/>
        <v>4334776</v>
      </c>
      <c r="R47" s="61">
        <f t="shared" si="13"/>
        <v>0.99983831075565621</v>
      </c>
    </row>
    <row r="48" spans="2:18" x14ac:dyDescent="0.25">
      <c r="B48" s="309" t="s">
        <v>83</v>
      </c>
      <c r="C48" s="310"/>
      <c r="D48" s="58">
        <f>SUM(D39:D47)</f>
        <v>75594906</v>
      </c>
      <c r="E48" s="58">
        <f>SUM(E39:E47)</f>
        <v>74550390</v>
      </c>
      <c r="F48" s="62">
        <f t="shared" si="7"/>
        <v>0.98618271977214977</v>
      </c>
      <c r="G48" s="58">
        <f>SUM(G39:G47)</f>
        <v>7831205</v>
      </c>
      <c r="H48" s="58">
        <f>SUM(H39:H47)</f>
        <v>7773278</v>
      </c>
      <c r="I48" s="62">
        <f t="shared" ref="I48" si="14">H48/G48</f>
        <v>0.9926030540638382</v>
      </c>
      <c r="J48" s="58">
        <f>SUM(J39:J47)</f>
        <v>7952282</v>
      </c>
      <c r="K48" s="58">
        <f>SUM(K39:K47)</f>
        <v>7780047</v>
      </c>
      <c r="L48" s="62">
        <f t="shared" ref="L48" si="15">K48/J48</f>
        <v>0.97834143708686383</v>
      </c>
      <c r="M48" s="58">
        <f>SUM(M39:M47)</f>
        <v>8439237</v>
      </c>
      <c r="N48" s="58">
        <f>SUM(N39:N47)</f>
        <v>8187054</v>
      </c>
      <c r="O48" s="62">
        <f t="shared" ref="O48" si="16">N48/M48</f>
        <v>0.97011779619413463</v>
      </c>
      <c r="P48" s="58">
        <f>SUM(P39:P47)</f>
        <v>99817630</v>
      </c>
      <c r="Q48" s="58">
        <f>SUM(Q39:Q47)</f>
        <v>98290769</v>
      </c>
      <c r="R48" s="62">
        <f t="shared" si="13"/>
        <v>0.98470349376157296</v>
      </c>
    </row>
    <row r="54" spans="4:5" x14ac:dyDescent="0.25">
      <c r="D54" s="18" t="s">
        <v>119</v>
      </c>
      <c r="E54" s="10">
        <v>1</v>
      </c>
    </row>
    <row r="55" spans="4:5" x14ac:dyDescent="0.25">
      <c r="D55" s="18" t="s">
        <v>47</v>
      </c>
      <c r="E55" s="10">
        <v>1</v>
      </c>
    </row>
    <row r="77" spans="7:16" x14ac:dyDescent="0.25">
      <c r="G77" s="296" t="s">
        <v>197</v>
      </c>
      <c r="H77" s="298" t="s">
        <v>198</v>
      </c>
      <c r="I77" s="299"/>
      <c r="J77" s="300"/>
      <c r="K77" s="298" t="s">
        <v>199</v>
      </c>
      <c r="L77" s="299"/>
      <c r="M77" s="300"/>
      <c r="N77" s="298" t="s">
        <v>22</v>
      </c>
      <c r="O77" s="299"/>
      <c r="P77" s="300"/>
    </row>
    <row r="78" spans="7:16" x14ac:dyDescent="0.25">
      <c r="G78" s="297"/>
      <c r="H78" s="136" t="s">
        <v>200</v>
      </c>
      <c r="I78" s="136" t="s">
        <v>201</v>
      </c>
      <c r="J78" s="136" t="s">
        <v>202</v>
      </c>
      <c r="K78" s="136" t="s">
        <v>200</v>
      </c>
      <c r="L78" s="136" t="s">
        <v>201</v>
      </c>
      <c r="M78" s="136" t="s">
        <v>202</v>
      </c>
      <c r="N78" s="136" t="s">
        <v>200</v>
      </c>
      <c r="O78" s="136" t="s">
        <v>201</v>
      </c>
      <c r="P78" s="136" t="s">
        <v>202</v>
      </c>
    </row>
    <row r="79" spans="7:16" x14ac:dyDescent="0.25">
      <c r="G79" s="137" t="s">
        <v>203</v>
      </c>
      <c r="H79" s="138">
        <v>806975.93599999964</v>
      </c>
      <c r="I79" s="138">
        <v>313679.15100000001</v>
      </c>
      <c r="J79" s="139">
        <f>I79/H79</f>
        <v>0.38870942367233136</v>
      </c>
      <c r="K79" s="138">
        <v>753089.35199999996</v>
      </c>
      <c r="L79" s="138">
        <v>663076.22399999993</v>
      </c>
      <c r="M79" s="139">
        <f>L79/K79</f>
        <v>0.88047483640427304</v>
      </c>
      <c r="N79" s="138">
        <f>+H79+K79</f>
        <v>1560065.2879999997</v>
      </c>
      <c r="O79" s="138">
        <f>+I79+L79</f>
        <v>976755.375</v>
      </c>
      <c r="P79" s="139">
        <f>O79/N79</f>
        <v>0.62609903733721184</v>
      </c>
    </row>
    <row r="80" spans="7:16" x14ac:dyDescent="0.25">
      <c r="G80" s="137" t="s">
        <v>204</v>
      </c>
      <c r="H80" s="138">
        <v>796830.66399999999</v>
      </c>
      <c r="I80" s="138">
        <v>411021.30900000007</v>
      </c>
      <c r="J80" s="139">
        <f t="shared" ref="J80:J95" si="17">I80/H80</f>
        <v>0.51582014544560761</v>
      </c>
      <c r="K80" s="138">
        <v>919441.07899999991</v>
      </c>
      <c r="L80" s="138">
        <v>845103.74699999986</v>
      </c>
      <c r="M80" s="139">
        <f t="shared" ref="M80:M95" si="18">L80/K80</f>
        <v>0.91914943360932855</v>
      </c>
      <c r="N80" s="138">
        <f t="shared" ref="N80:N95" si="19">+H80+K80</f>
        <v>1716271.7429999998</v>
      </c>
      <c r="O80" s="138">
        <f t="shared" ref="O80:O95" si="20">+I80+L80</f>
        <v>1256125.0559999999</v>
      </c>
      <c r="P80" s="139">
        <f t="shared" ref="P80:P95" si="21">O80/N80</f>
        <v>0.73189170719802499</v>
      </c>
    </row>
    <row r="81" spans="7:16" x14ac:dyDescent="0.25">
      <c r="G81" s="137" t="s">
        <v>205</v>
      </c>
      <c r="H81" s="138">
        <v>702997.37199999997</v>
      </c>
      <c r="I81" s="138">
        <v>344401.47300000006</v>
      </c>
      <c r="J81" s="139">
        <f t="shared" si="17"/>
        <v>0.48990435344045646</v>
      </c>
      <c r="K81" s="138">
        <v>640119.68999999994</v>
      </c>
      <c r="L81" s="138">
        <v>554488.11699999997</v>
      </c>
      <c r="M81" s="139">
        <f t="shared" si="18"/>
        <v>0.86622568507461473</v>
      </c>
      <c r="N81" s="138">
        <f t="shared" si="19"/>
        <v>1343117.0619999999</v>
      </c>
      <c r="O81" s="138">
        <f t="shared" si="20"/>
        <v>898889.59000000008</v>
      </c>
      <c r="P81" s="139">
        <f t="shared" si="21"/>
        <v>0.66925632577512451</v>
      </c>
    </row>
    <row r="82" spans="7:16" x14ac:dyDescent="0.25">
      <c r="G82" s="137" t="s">
        <v>206</v>
      </c>
      <c r="H82" s="138">
        <v>862105.62900000007</v>
      </c>
      <c r="I82" s="138">
        <v>376291.98900000006</v>
      </c>
      <c r="J82" s="139">
        <f t="shared" si="17"/>
        <v>0.43648014389661294</v>
      </c>
      <c r="K82" s="138">
        <v>1505565.8159999999</v>
      </c>
      <c r="L82" s="138">
        <v>1354061.7310000004</v>
      </c>
      <c r="M82" s="139">
        <f t="shared" si="18"/>
        <v>0.89937066623728423</v>
      </c>
      <c r="N82" s="138">
        <f t="shared" si="19"/>
        <v>2367671.4449999998</v>
      </c>
      <c r="O82" s="138">
        <f t="shared" si="20"/>
        <v>1730353.7200000004</v>
      </c>
      <c r="P82" s="139">
        <f t="shared" si="21"/>
        <v>0.73082509976378951</v>
      </c>
    </row>
    <row r="83" spans="7:16" x14ac:dyDescent="0.25">
      <c r="G83" s="137" t="s">
        <v>207</v>
      </c>
      <c r="H83" s="138">
        <v>1328574.327</v>
      </c>
      <c r="I83" s="138">
        <v>730666.09600000002</v>
      </c>
      <c r="J83" s="139">
        <f t="shared" si="17"/>
        <v>0.54996252836669479</v>
      </c>
      <c r="K83" s="138">
        <v>5181037.33</v>
      </c>
      <c r="L83" s="138">
        <v>5027953.8629999999</v>
      </c>
      <c r="M83" s="139">
        <f t="shared" si="18"/>
        <v>0.97045312410439621</v>
      </c>
      <c r="N83" s="138">
        <f t="shared" si="19"/>
        <v>6509611.6569999997</v>
      </c>
      <c r="O83" s="138">
        <f t="shared" si="20"/>
        <v>5758619.9589999998</v>
      </c>
      <c r="P83" s="139">
        <f t="shared" si="21"/>
        <v>0.88463341016780417</v>
      </c>
    </row>
    <row r="84" spans="7:16" x14ac:dyDescent="0.25">
      <c r="G84" s="137" t="s">
        <v>208</v>
      </c>
      <c r="H84" s="138">
        <v>748845.42199999979</v>
      </c>
      <c r="I84" s="138">
        <v>226646.65399999998</v>
      </c>
      <c r="J84" s="139">
        <f t="shared" si="17"/>
        <v>0.30266146702837166</v>
      </c>
      <c r="K84" s="138">
        <v>1078001.2310000001</v>
      </c>
      <c r="L84" s="138">
        <v>968560.43200000015</v>
      </c>
      <c r="M84" s="139">
        <f t="shared" si="18"/>
        <v>0.89847803893648803</v>
      </c>
      <c r="N84" s="138">
        <f t="shared" si="19"/>
        <v>1826846.6529999999</v>
      </c>
      <c r="O84" s="138">
        <f t="shared" si="20"/>
        <v>1195207.0860000001</v>
      </c>
      <c r="P84" s="139">
        <f t="shared" si="21"/>
        <v>0.65424598394028433</v>
      </c>
    </row>
    <row r="85" spans="7:16" x14ac:dyDescent="0.25">
      <c r="G85" s="137" t="s">
        <v>209</v>
      </c>
      <c r="H85" s="138">
        <v>895798.99899999995</v>
      </c>
      <c r="I85" s="138">
        <v>416327.01299999986</v>
      </c>
      <c r="J85" s="139">
        <f t="shared" si="17"/>
        <v>0.46475494331290257</v>
      </c>
      <c r="K85" s="138">
        <v>1193648.0839999998</v>
      </c>
      <c r="L85" s="138">
        <v>1106889.868</v>
      </c>
      <c r="M85" s="139">
        <f t="shared" si="18"/>
        <v>0.92731675511155109</v>
      </c>
      <c r="N85" s="138">
        <f t="shared" si="19"/>
        <v>2089447.0829999996</v>
      </c>
      <c r="O85" s="138">
        <f t="shared" si="20"/>
        <v>1523216.8809999998</v>
      </c>
      <c r="P85" s="139">
        <f t="shared" si="21"/>
        <v>0.72900476561147731</v>
      </c>
    </row>
    <row r="86" spans="7:16" x14ac:dyDescent="0.25">
      <c r="G86" s="137" t="s">
        <v>210</v>
      </c>
      <c r="H86" s="138">
        <v>1295711.926</v>
      </c>
      <c r="I86" s="138">
        <v>608400.0360000002</v>
      </c>
      <c r="J86" s="139">
        <f t="shared" si="17"/>
        <v>0.46954884322026391</v>
      </c>
      <c r="K86" s="138">
        <v>2164421.3050000006</v>
      </c>
      <c r="L86" s="138">
        <v>2033947.2410000002</v>
      </c>
      <c r="M86" s="139">
        <f t="shared" si="18"/>
        <v>0.93971873049918975</v>
      </c>
      <c r="N86" s="138">
        <f t="shared" si="19"/>
        <v>3460133.2310000006</v>
      </c>
      <c r="O86" s="138">
        <f t="shared" si="20"/>
        <v>2642347.2770000002</v>
      </c>
      <c r="P86" s="139">
        <f t="shared" si="21"/>
        <v>0.76365477876016497</v>
      </c>
    </row>
    <row r="87" spans="7:16" x14ac:dyDescent="0.25">
      <c r="G87" s="137" t="s">
        <v>211</v>
      </c>
      <c r="H87" s="138">
        <v>929491.72599999956</v>
      </c>
      <c r="I87" s="138">
        <v>350085.32500000001</v>
      </c>
      <c r="J87" s="139">
        <f t="shared" si="17"/>
        <v>0.37664167975606078</v>
      </c>
      <c r="K87" s="138">
        <v>1396227.0759999999</v>
      </c>
      <c r="L87" s="138">
        <v>1282953.4549999998</v>
      </c>
      <c r="M87" s="139">
        <f t="shared" si="18"/>
        <v>0.91887163417249185</v>
      </c>
      <c r="N87" s="138">
        <f t="shared" si="19"/>
        <v>2325718.8019999992</v>
      </c>
      <c r="O87" s="138">
        <f t="shared" si="20"/>
        <v>1633038.7799999998</v>
      </c>
      <c r="P87" s="139">
        <f t="shared" si="21"/>
        <v>0.7021651880681663</v>
      </c>
    </row>
    <row r="88" spans="7:16" x14ac:dyDescent="0.25">
      <c r="G88" s="137" t="s">
        <v>212</v>
      </c>
      <c r="H88" s="138">
        <v>989489.62</v>
      </c>
      <c r="I88" s="138">
        <v>433013.69500000007</v>
      </c>
      <c r="J88" s="139">
        <f t="shared" si="17"/>
        <v>0.43761317577035325</v>
      </c>
      <c r="K88" s="138">
        <v>2017975.1620000005</v>
      </c>
      <c r="L88" s="138">
        <v>1923481.9209999999</v>
      </c>
      <c r="M88" s="139">
        <f t="shared" si="18"/>
        <v>0.95317422990164602</v>
      </c>
      <c r="N88" s="138">
        <f t="shared" si="19"/>
        <v>3007464.7820000006</v>
      </c>
      <c r="O88" s="138">
        <f t="shared" si="20"/>
        <v>2356495.6159999999</v>
      </c>
      <c r="P88" s="139">
        <f t="shared" si="21"/>
        <v>0.78354886484585917</v>
      </c>
    </row>
    <row r="89" spans="7:16" x14ac:dyDescent="0.25">
      <c r="G89" s="137" t="s">
        <v>213</v>
      </c>
      <c r="H89" s="138">
        <v>948843.60899999971</v>
      </c>
      <c r="I89" s="138">
        <v>447554.67600000009</v>
      </c>
      <c r="J89" s="139">
        <f t="shared" si="17"/>
        <v>0.47168434476961341</v>
      </c>
      <c r="K89" s="138">
        <v>623410.12399999995</v>
      </c>
      <c r="L89" s="138">
        <v>545115.49399999995</v>
      </c>
      <c r="M89" s="139">
        <f t="shared" si="18"/>
        <v>0.87440911370249097</v>
      </c>
      <c r="N89" s="138">
        <f t="shared" si="19"/>
        <v>1572253.7329999995</v>
      </c>
      <c r="O89" s="138">
        <f t="shared" si="20"/>
        <v>992670.17</v>
      </c>
      <c r="P89" s="139">
        <f t="shared" si="21"/>
        <v>0.63136766615010498</v>
      </c>
    </row>
    <row r="90" spans="7:16" x14ac:dyDescent="0.25">
      <c r="G90" s="137" t="s">
        <v>214</v>
      </c>
      <c r="H90" s="138">
        <v>646829.45499999996</v>
      </c>
      <c r="I90" s="138">
        <v>245180.84699999998</v>
      </c>
      <c r="J90" s="139">
        <f t="shared" si="17"/>
        <v>0.37905021965952368</v>
      </c>
      <c r="K90" s="138">
        <v>689898.30200000003</v>
      </c>
      <c r="L90" s="138">
        <v>606556.01500000001</v>
      </c>
      <c r="M90" s="139">
        <f t="shared" si="18"/>
        <v>0.87919627174267201</v>
      </c>
      <c r="N90" s="138">
        <f t="shared" si="19"/>
        <v>1336727.757</v>
      </c>
      <c r="O90" s="138">
        <f t="shared" si="20"/>
        <v>851736.86199999996</v>
      </c>
      <c r="P90" s="139">
        <f t="shared" si="21"/>
        <v>0.63718050107042101</v>
      </c>
    </row>
    <row r="91" spans="7:16" ht="24" x14ac:dyDescent="0.25">
      <c r="G91" s="137" t="s">
        <v>215</v>
      </c>
      <c r="H91" s="138">
        <v>1476076.939</v>
      </c>
      <c r="I91" s="138">
        <v>714610.27700000023</v>
      </c>
      <c r="J91" s="139">
        <f t="shared" si="17"/>
        <v>0.48412806820498688</v>
      </c>
      <c r="K91" s="138">
        <v>15225274.679999996</v>
      </c>
      <c r="L91" s="138">
        <v>14863350.201000001</v>
      </c>
      <c r="M91" s="139">
        <f t="shared" si="18"/>
        <v>0.97622870610830947</v>
      </c>
      <c r="N91" s="138">
        <f t="shared" si="19"/>
        <v>16701351.618999995</v>
      </c>
      <c r="O91" s="138">
        <f t="shared" si="20"/>
        <v>15577960.478000002</v>
      </c>
      <c r="P91" s="139">
        <f t="shared" si="21"/>
        <v>0.93273651338961172</v>
      </c>
    </row>
    <row r="92" spans="7:16" x14ac:dyDescent="0.25">
      <c r="G92" s="137" t="s">
        <v>216</v>
      </c>
      <c r="H92" s="138">
        <v>825334.30500000005</v>
      </c>
      <c r="I92" s="138">
        <v>408142.64200000005</v>
      </c>
      <c r="J92" s="139">
        <f t="shared" si="17"/>
        <v>0.49451796626822636</v>
      </c>
      <c r="K92" s="138">
        <v>2077967.6749999998</v>
      </c>
      <c r="L92" s="138">
        <v>1961150.17</v>
      </c>
      <c r="M92" s="139">
        <f t="shared" si="18"/>
        <v>0.94378280932594394</v>
      </c>
      <c r="N92" s="138">
        <f t="shared" si="19"/>
        <v>2903301.98</v>
      </c>
      <c r="O92" s="138">
        <f t="shared" si="20"/>
        <v>2369292.8119999999</v>
      </c>
      <c r="P92" s="139">
        <f t="shared" si="21"/>
        <v>0.81606833471728624</v>
      </c>
    </row>
    <row r="93" spans="7:16" x14ac:dyDescent="0.25">
      <c r="G93" s="137" t="s">
        <v>217</v>
      </c>
      <c r="H93" s="138">
        <v>863036.88800000015</v>
      </c>
      <c r="I93" s="138">
        <v>509507.37700000009</v>
      </c>
      <c r="J93" s="139">
        <f t="shared" si="17"/>
        <v>0.59036570056783022</v>
      </c>
      <c r="K93" s="138">
        <v>823636.09699999995</v>
      </c>
      <c r="L93" s="138">
        <v>729267.9</v>
      </c>
      <c r="M93" s="139">
        <f t="shared" si="18"/>
        <v>0.88542488928821206</v>
      </c>
      <c r="N93" s="138">
        <f t="shared" si="19"/>
        <v>1686672.9850000001</v>
      </c>
      <c r="O93" s="138">
        <f t="shared" si="20"/>
        <v>1238775.2770000002</v>
      </c>
      <c r="P93" s="139">
        <f t="shared" si="21"/>
        <v>0.73444899397615016</v>
      </c>
    </row>
    <row r="94" spans="7:16" x14ac:dyDescent="0.25">
      <c r="G94" s="137" t="s">
        <v>218</v>
      </c>
      <c r="H94" s="138">
        <v>681635.39199999988</v>
      </c>
      <c r="I94" s="138">
        <v>258162.38899999994</v>
      </c>
      <c r="J94" s="139">
        <f t="shared" si="17"/>
        <v>0.37873970751800395</v>
      </c>
      <c r="K94" s="138">
        <v>760853.93299999996</v>
      </c>
      <c r="L94" s="138">
        <v>692197.53099999996</v>
      </c>
      <c r="M94" s="139">
        <f t="shared" si="18"/>
        <v>0.90976401774084015</v>
      </c>
      <c r="N94" s="138">
        <f t="shared" si="19"/>
        <v>1442489.3249999997</v>
      </c>
      <c r="O94" s="138">
        <f t="shared" si="20"/>
        <v>950359.91999999993</v>
      </c>
      <c r="P94" s="139">
        <f t="shared" si="21"/>
        <v>0.65883324301204105</v>
      </c>
    </row>
    <row r="95" spans="7:16" x14ac:dyDescent="0.25">
      <c r="G95" s="136" t="s">
        <v>219</v>
      </c>
      <c r="H95" s="140">
        <f t="shared" ref="H95:I95" si="22">SUM(H79:H94)</f>
        <v>14798578.208999997</v>
      </c>
      <c r="I95" s="140">
        <f t="shared" si="22"/>
        <v>6793690.949000001</v>
      </c>
      <c r="J95" s="139">
        <f t="shared" si="17"/>
        <v>0.45907727438763724</v>
      </c>
      <c r="K95" s="140">
        <f>SUM(K79:K94)</f>
        <v>37050566.935999997</v>
      </c>
      <c r="L95" s="140">
        <f>SUM(L79:L94)</f>
        <v>35158153.910000004</v>
      </c>
      <c r="M95" s="139">
        <f t="shared" si="18"/>
        <v>0.94892350691235339</v>
      </c>
      <c r="N95" s="138">
        <f t="shared" si="19"/>
        <v>51849145.144999996</v>
      </c>
      <c r="O95" s="138">
        <f t="shared" si="20"/>
        <v>41951844.859000005</v>
      </c>
      <c r="P95" s="139">
        <f t="shared" si="21"/>
        <v>0.8091135300626181</v>
      </c>
    </row>
  </sheetData>
  <mergeCells count="49">
    <mergeCell ref="J4:L4"/>
    <mergeCell ref="J5:L5"/>
    <mergeCell ref="J6:J7"/>
    <mergeCell ref="K6:K7"/>
    <mergeCell ref="B4:B7"/>
    <mergeCell ref="C4:C7"/>
    <mergeCell ref="D4:F4"/>
    <mergeCell ref="D5:F5"/>
    <mergeCell ref="G4:I4"/>
    <mergeCell ref="G5:I5"/>
    <mergeCell ref="D6:D7"/>
    <mergeCell ref="E6:E7"/>
    <mergeCell ref="G6:G7"/>
    <mergeCell ref="H6:H7"/>
    <mergeCell ref="D24:D25"/>
    <mergeCell ref="E24:E25"/>
    <mergeCell ref="B32:C32"/>
    <mergeCell ref="B35:B38"/>
    <mergeCell ref="C35:C38"/>
    <mergeCell ref="D35:F35"/>
    <mergeCell ref="D36:F36"/>
    <mergeCell ref="B18:C18"/>
    <mergeCell ref="B48:C48"/>
    <mergeCell ref="J35:L35"/>
    <mergeCell ref="J36:L36"/>
    <mergeCell ref="D37:D38"/>
    <mergeCell ref="E37:E38"/>
    <mergeCell ref="G37:G38"/>
    <mergeCell ref="H37:H38"/>
    <mergeCell ref="J37:J38"/>
    <mergeCell ref="K37:K38"/>
    <mergeCell ref="G35:I35"/>
    <mergeCell ref="G36:I36"/>
    <mergeCell ref="B22:B25"/>
    <mergeCell ref="C22:C25"/>
    <mergeCell ref="D22:F22"/>
    <mergeCell ref="D23:F23"/>
    <mergeCell ref="G77:G78"/>
    <mergeCell ref="H77:J77"/>
    <mergeCell ref="K77:M77"/>
    <mergeCell ref="N77:P77"/>
    <mergeCell ref="M35:O35"/>
    <mergeCell ref="M36:O36"/>
    <mergeCell ref="P35:R35"/>
    <mergeCell ref="P36:R36"/>
    <mergeCell ref="P37:P38"/>
    <mergeCell ref="Q37:Q38"/>
    <mergeCell ref="N37:N38"/>
    <mergeCell ref="M37:M38"/>
  </mergeCells>
  <pageMargins left="0.7" right="0.7" top="0.75" bottom="0.75" header="0.3" footer="0.3"/>
  <pageSetup orientation="portrait" r:id="rId1"/>
  <ignoredErrors>
    <ignoredError sqref="F18 I18" formula="1"/>
  </ignoredError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2:J208"/>
  <sheetViews>
    <sheetView topLeftCell="A206" zoomScale="80" zoomScaleNormal="80" workbookViewId="0">
      <selection activeCell="D13" activeCellId="2" sqref="D8:I9 D11:I11 D13:I13"/>
    </sheetView>
  </sheetViews>
  <sheetFormatPr baseColWidth="10" defaultRowHeight="15" x14ac:dyDescent="0.25"/>
  <cols>
    <col min="2" max="2" width="52.7109375" customWidth="1"/>
    <col min="3" max="6" width="12.7109375" customWidth="1"/>
    <col min="7" max="7" width="15.42578125" customWidth="1"/>
    <col min="8" max="8" width="14.42578125" customWidth="1"/>
  </cols>
  <sheetData>
    <row r="2" spans="2:6" ht="30" x14ac:dyDescent="0.25">
      <c r="B2" s="100" t="s">
        <v>186</v>
      </c>
      <c r="C2" s="100" t="s">
        <v>187</v>
      </c>
      <c r="D2" s="100" t="s">
        <v>97</v>
      </c>
      <c r="E2" s="100" t="s">
        <v>8</v>
      </c>
    </row>
    <row r="3" spans="2:6" x14ac:dyDescent="0.25">
      <c r="B3" s="101" t="s">
        <v>86</v>
      </c>
      <c r="C3" s="102">
        <f>SCA!D11/1000</f>
        <v>124771.12000000002</v>
      </c>
      <c r="D3" s="102">
        <f>SCA!G11/1000</f>
        <v>121215.68206399999</v>
      </c>
      <c r="E3" s="107">
        <f>D3/C3</f>
        <v>0.97150431978169283</v>
      </c>
      <c r="F3" s="23"/>
    </row>
    <row r="4" spans="2:6" x14ac:dyDescent="0.25">
      <c r="B4" s="103" t="s">
        <v>188</v>
      </c>
      <c r="C4" s="102">
        <f>SCA!D12/1000</f>
        <v>53396.803</v>
      </c>
      <c r="D4" s="102">
        <f>SCA!G12/1000</f>
        <v>52103.531733999997</v>
      </c>
      <c r="E4" s="107">
        <f t="shared" ref="E4:E5" si="0">D4/C4</f>
        <v>0.97577998694041657</v>
      </c>
    </row>
    <row r="5" spans="2:6" x14ac:dyDescent="0.25">
      <c r="B5" s="105" t="s">
        <v>189</v>
      </c>
      <c r="C5" s="106">
        <f>SUM(C3:C4)</f>
        <v>178167.92300000001</v>
      </c>
      <c r="D5" s="106">
        <f>SUM(D3:D4)</f>
        <v>173319.21379799998</v>
      </c>
      <c r="E5" s="131">
        <f t="shared" si="0"/>
        <v>0.97278573426485959</v>
      </c>
    </row>
    <row r="52" spans="2:9" ht="30" x14ac:dyDescent="0.25">
      <c r="B52" s="111">
        <v>2022</v>
      </c>
      <c r="C52" s="111" t="s">
        <v>187</v>
      </c>
      <c r="D52" s="111" t="s">
        <v>97</v>
      </c>
      <c r="E52" s="111" t="s">
        <v>8</v>
      </c>
    </row>
    <row r="53" spans="2:9" x14ac:dyDescent="0.25">
      <c r="B53" s="112" t="s">
        <v>86</v>
      </c>
      <c r="C53" s="113">
        <v>100410.586</v>
      </c>
      <c r="D53" s="113">
        <v>56995.582999999999</v>
      </c>
      <c r="E53" s="114">
        <v>0.56762524023114458</v>
      </c>
    </row>
    <row r="54" spans="2:9" x14ac:dyDescent="0.25">
      <c r="B54" s="115" t="s">
        <v>188</v>
      </c>
      <c r="C54" s="116">
        <v>47832.154999999999</v>
      </c>
      <c r="D54" s="116">
        <v>33272.557000000001</v>
      </c>
      <c r="E54" s="117">
        <v>0.6956106619072463</v>
      </c>
    </row>
    <row r="55" spans="2:9" x14ac:dyDescent="0.25">
      <c r="B55" s="115" t="s">
        <v>190</v>
      </c>
      <c r="C55" s="116">
        <v>16710.916000000001</v>
      </c>
      <c r="D55" s="118">
        <v>13745.394</v>
      </c>
      <c r="E55" s="117">
        <v>0.82253982965386219</v>
      </c>
    </row>
    <row r="56" spans="2:9" x14ac:dyDescent="0.25">
      <c r="B56" s="119" t="s">
        <v>189</v>
      </c>
      <c r="C56" s="120">
        <f>SUM(C53:C55)</f>
        <v>164953.65699999998</v>
      </c>
      <c r="D56" s="120">
        <f>SUM(D53:D55)</f>
        <v>104013.534</v>
      </c>
      <c r="E56" s="121">
        <v>0.6305621584370209</v>
      </c>
      <c r="I56" s="110"/>
    </row>
    <row r="59" spans="2:9" ht="30" x14ac:dyDescent="0.25">
      <c r="B59" s="100">
        <v>2023</v>
      </c>
      <c r="C59" s="100" t="s">
        <v>187</v>
      </c>
      <c r="D59" s="100" t="s">
        <v>97</v>
      </c>
      <c r="E59" s="100" t="s">
        <v>8</v>
      </c>
    </row>
    <row r="60" spans="2:9" x14ac:dyDescent="0.25">
      <c r="B60" s="101" t="s">
        <v>86</v>
      </c>
      <c r="C60" s="102">
        <v>133908.14400000003</v>
      </c>
      <c r="D60" s="102">
        <v>76583.209577999995</v>
      </c>
      <c r="E60" s="107">
        <v>0.57190852841631479</v>
      </c>
      <c r="F60">
        <f>D60/C60</f>
        <v>0.57190852841631479</v>
      </c>
    </row>
    <row r="61" spans="2:9" x14ac:dyDescent="0.25">
      <c r="B61" s="103" t="s">
        <v>188</v>
      </c>
      <c r="C61" s="104">
        <v>53391.063000000002</v>
      </c>
      <c r="D61" s="104">
        <v>40833.583113999994</v>
      </c>
      <c r="E61" s="108">
        <v>0.76480183797801504</v>
      </c>
    </row>
    <row r="62" spans="2:9" x14ac:dyDescent="0.25">
      <c r="B62" s="105" t="s">
        <v>189</v>
      </c>
      <c r="C62" s="106">
        <v>187299.20700000002</v>
      </c>
      <c r="D62" s="106">
        <v>117416.79269199999</v>
      </c>
      <c r="E62" s="109">
        <v>0.62689423288375146</v>
      </c>
    </row>
    <row r="150" spans="2:10" x14ac:dyDescent="0.25">
      <c r="B150" t="s">
        <v>191</v>
      </c>
    </row>
    <row r="151" spans="2:10" ht="60" x14ac:dyDescent="0.25">
      <c r="B151" s="67">
        <v>2022</v>
      </c>
      <c r="C151" s="67" t="s">
        <v>2</v>
      </c>
      <c r="D151" s="67" t="s">
        <v>3</v>
      </c>
      <c r="E151" s="67" t="s">
        <v>4</v>
      </c>
      <c r="F151" s="67" t="s">
        <v>5</v>
      </c>
      <c r="G151" s="67" t="s">
        <v>6</v>
      </c>
      <c r="H151" s="67" t="s">
        <v>7</v>
      </c>
      <c r="I151" s="67" t="s">
        <v>8</v>
      </c>
    </row>
    <row r="152" spans="2:10" x14ac:dyDescent="0.25">
      <c r="B152" s="132" t="s">
        <v>94</v>
      </c>
      <c r="C152" s="44">
        <v>164953657</v>
      </c>
      <c r="D152" s="44">
        <v>123463129</v>
      </c>
      <c r="E152" s="44">
        <v>40155706</v>
      </c>
      <c r="F152" s="44">
        <v>104013534</v>
      </c>
      <c r="G152" s="44">
        <v>19449595</v>
      </c>
      <c r="H152" s="45">
        <v>0.74847160860459128</v>
      </c>
      <c r="I152" s="45">
        <v>0.6305621584370209</v>
      </c>
    </row>
    <row r="153" spans="2:10" x14ac:dyDescent="0.25">
      <c r="B153" s="51" t="s">
        <v>86</v>
      </c>
      <c r="C153" s="46">
        <v>100410586</v>
      </c>
      <c r="D153" s="46">
        <v>72834319</v>
      </c>
      <c r="E153" s="46">
        <v>27576267</v>
      </c>
      <c r="F153" s="46">
        <v>56995583</v>
      </c>
      <c r="G153" s="46">
        <v>15838736</v>
      </c>
      <c r="H153" s="47">
        <v>0.72536494309474497</v>
      </c>
      <c r="I153" s="47">
        <v>0.56762524023114458</v>
      </c>
    </row>
    <row r="154" spans="2:10" x14ac:dyDescent="0.25">
      <c r="B154" s="52" t="s">
        <v>87</v>
      </c>
      <c r="C154" s="46">
        <v>47832155</v>
      </c>
      <c r="D154" s="46">
        <v>35762716</v>
      </c>
      <c r="E154" s="46">
        <v>12069439</v>
      </c>
      <c r="F154" s="46">
        <v>33272557</v>
      </c>
      <c r="G154" s="46">
        <v>2490159</v>
      </c>
      <c r="H154" s="47">
        <v>0.74767101754039722</v>
      </c>
      <c r="I154" s="47">
        <v>0.6956106619072463</v>
      </c>
    </row>
    <row r="155" spans="2:10" x14ac:dyDescent="0.25">
      <c r="B155" s="52" t="s">
        <v>190</v>
      </c>
      <c r="C155" s="133">
        <v>16710916</v>
      </c>
      <c r="D155" s="133">
        <v>14866094</v>
      </c>
      <c r="E155" s="133">
        <v>510000</v>
      </c>
      <c r="F155" s="133">
        <v>13745394</v>
      </c>
      <c r="G155" s="133">
        <v>1120700</v>
      </c>
      <c r="H155" s="47">
        <v>0.88960377755474329</v>
      </c>
      <c r="I155" s="47">
        <v>0.82253982965386219</v>
      </c>
    </row>
    <row r="156" spans="2:10" x14ac:dyDescent="0.25">
      <c r="B156" s="48" t="s">
        <v>95</v>
      </c>
      <c r="C156" s="69">
        <v>2424981</v>
      </c>
      <c r="D156" s="69">
        <v>1717847</v>
      </c>
      <c r="E156" s="69">
        <v>707134</v>
      </c>
      <c r="F156" s="69">
        <v>1471558</v>
      </c>
      <c r="G156" s="69">
        <v>246289</v>
      </c>
      <c r="H156" s="45">
        <v>0.70839606578360825</v>
      </c>
      <c r="I156" s="45">
        <v>0.60683279580334859</v>
      </c>
    </row>
    <row r="157" spans="2:10" x14ac:dyDescent="0.25">
      <c r="B157" s="51" t="s">
        <v>92</v>
      </c>
      <c r="C157" s="46">
        <v>2424981</v>
      </c>
      <c r="D157" s="46">
        <v>1717847</v>
      </c>
      <c r="E157" s="46">
        <v>707134</v>
      </c>
      <c r="F157" s="46">
        <v>1471558</v>
      </c>
      <c r="G157" s="46">
        <v>246289</v>
      </c>
      <c r="H157" s="47">
        <v>0.70839606578360825</v>
      </c>
      <c r="I157" s="47">
        <v>0.60683279580334859</v>
      </c>
      <c r="J157" s="63">
        <f>F157/1000</f>
        <v>1471.558</v>
      </c>
    </row>
    <row r="158" spans="2:10" x14ac:dyDescent="0.25">
      <c r="B158" s="50" t="s">
        <v>96</v>
      </c>
      <c r="C158" s="49">
        <v>85440964</v>
      </c>
      <c r="D158" s="49">
        <v>57871989</v>
      </c>
      <c r="E158" s="49">
        <v>27568975</v>
      </c>
      <c r="F158" s="49">
        <v>50969808</v>
      </c>
      <c r="G158" s="49">
        <v>6902181</v>
      </c>
      <c r="H158" s="45">
        <v>0.6773330530306283</v>
      </c>
      <c r="I158" s="45">
        <v>0.59655001083555192</v>
      </c>
      <c r="J158" s="63">
        <f t="shared" ref="J158:J161" si="1">F158/1000</f>
        <v>50969.807999999997</v>
      </c>
    </row>
    <row r="159" spans="2:10" x14ac:dyDescent="0.25">
      <c r="B159" s="51" t="s">
        <v>88</v>
      </c>
      <c r="C159" s="46">
        <v>59407216</v>
      </c>
      <c r="D159" s="46">
        <v>42499168</v>
      </c>
      <c r="E159" s="46">
        <v>16908048</v>
      </c>
      <c r="F159" s="46">
        <v>38386116</v>
      </c>
      <c r="G159" s="46">
        <v>4113052</v>
      </c>
      <c r="H159" s="47">
        <v>0.7153873024448747</v>
      </c>
      <c r="I159" s="47">
        <v>0.64615241353844965</v>
      </c>
      <c r="J159" s="63">
        <f t="shared" si="1"/>
        <v>38386.116000000002</v>
      </c>
    </row>
    <row r="160" spans="2:10" x14ac:dyDescent="0.25">
      <c r="B160" s="51" t="s">
        <v>89</v>
      </c>
      <c r="C160" s="46">
        <v>7163086</v>
      </c>
      <c r="D160" s="46">
        <v>6126377</v>
      </c>
      <c r="E160" s="46">
        <v>1036709</v>
      </c>
      <c r="F160" s="46">
        <v>4893780</v>
      </c>
      <c r="G160" s="46">
        <v>1232597</v>
      </c>
      <c r="H160" s="47">
        <v>0.85527061939504845</v>
      </c>
      <c r="I160" s="47">
        <v>0.6831943662270703</v>
      </c>
      <c r="J160" s="63">
        <f t="shared" si="1"/>
        <v>4893.78</v>
      </c>
    </row>
    <row r="161" spans="2:10" x14ac:dyDescent="0.25">
      <c r="B161" s="51" t="s">
        <v>90</v>
      </c>
      <c r="C161" s="46">
        <v>6671767</v>
      </c>
      <c r="D161" s="46">
        <v>4640519</v>
      </c>
      <c r="E161" s="46">
        <v>2031248</v>
      </c>
      <c r="F161" s="46">
        <v>4055951</v>
      </c>
      <c r="G161" s="46">
        <v>584568</v>
      </c>
      <c r="H161" s="47">
        <v>0.69554572274481408</v>
      </c>
      <c r="I161" s="47">
        <v>0.60792755502402884</v>
      </c>
      <c r="J161" s="63">
        <f t="shared" si="1"/>
        <v>4055.951</v>
      </c>
    </row>
    <row r="162" spans="2:10" x14ac:dyDescent="0.25">
      <c r="B162" s="51" t="s">
        <v>173</v>
      </c>
      <c r="C162" s="46">
        <v>6216691</v>
      </c>
      <c r="D162" s="46">
        <v>4188241</v>
      </c>
      <c r="E162" s="46">
        <v>2028450</v>
      </c>
      <c r="F162" s="46">
        <v>3341230</v>
      </c>
      <c r="G162" s="46">
        <v>847011</v>
      </c>
      <c r="H162" s="47">
        <v>0.67370905196993058</v>
      </c>
      <c r="I162" s="47">
        <v>0.5374611670420808</v>
      </c>
      <c r="J162" s="63">
        <f>F162/1000</f>
        <v>3341.23</v>
      </c>
    </row>
    <row r="163" spans="2:10" x14ac:dyDescent="0.25">
      <c r="B163" s="51" t="s">
        <v>190</v>
      </c>
      <c r="C163" s="46">
        <v>5982204</v>
      </c>
      <c r="D163" s="46">
        <v>417684</v>
      </c>
      <c r="E163" s="46">
        <v>5564520</v>
      </c>
      <c r="F163" s="46">
        <v>292731</v>
      </c>
      <c r="G163" s="46">
        <v>124953</v>
      </c>
      <c r="H163" s="47">
        <v>6.9821089351015109E-2</v>
      </c>
      <c r="I163" s="47">
        <v>4.8933637167839814E-2</v>
      </c>
    </row>
    <row r="164" spans="2:10" x14ac:dyDescent="0.25">
      <c r="B164" s="87" t="s">
        <v>93</v>
      </c>
      <c r="C164" s="70">
        <v>252819602</v>
      </c>
      <c r="D164" s="70">
        <v>183052965</v>
      </c>
      <c r="E164" s="70">
        <v>68431815</v>
      </c>
      <c r="F164" s="70">
        <v>156454900</v>
      </c>
      <c r="G164" s="70">
        <v>26598065</v>
      </c>
      <c r="H164" s="74">
        <v>0.72404577632394185</v>
      </c>
      <c r="I164" s="74">
        <v>0.61884006921267121</v>
      </c>
    </row>
    <row r="166" spans="2:10" ht="60" x14ac:dyDescent="0.25">
      <c r="B166" s="67">
        <v>2023</v>
      </c>
      <c r="C166" s="67" t="s">
        <v>2</v>
      </c>
      <c r="D166" s="67" t="s">
        <v>3</v>
      </c>
      <c r="E166" s="67" t="s">
        <v>4</v>
      </c>
      <c r="F166" s="67" t="s">
        <v>5</v>
      </c>
      <c r="G166" s="67" t="s">
        <v>6</v>
      </c>
      <c r="H166" s="67" t="s">
        <v>7</v>
      </c>
      <c r="I166" s="67" t="s">
        <v>8</v>
      </c>
    </row>
    <row r="167" spans="2:10" x14ac:dyDescent="0.25">
      <c r="B167" s="98" t="s">
        <v>94</v>
      </c>
      <c r="C167" s="44">
        <v>187299207</v>
      </c>
      <c r="D167" s="44">
        <v>138972998.35600001</v>
      </c>
      <c r="E167" s="44">
        <v>48326208.644000024</v>
      </c>
      <c r="F167" s="44">
        <v>117416792.69199999</v>
      </c>
      <c r="G167" s="44">
        <v>21556205.664000001</v>
      </c>
      <c r="H167" s="45">
        <v>0.74198391216893944</v>
      </c>
      <c r="I167" s="45">
        <v>0.62689423288375157</v>
      </c>
    </row>
    <row r="168" spans="2:10" x14ac:dyDescent="0.25">
      <c r="B168" s="51" t="s">
        <v>86</v>
      </c>
      <c r="C168" s="46">
        <v>133908144.00000001</v>
      </c>
      <c r="D168" s="46">
        <v>95075854.119000003</v>
      </c>
      <c r="E168" s="46">
        <v>38832289.881000012</v>
      </c>
      <c r="F168" s="46">
        <v>76583209.577999994</v>
      </c>
      <c r="G168" s="46">
        <v>18492644.541000005</v>
      </c>
      <c r="H168" s="47">
        <v>0.71000800458409752</v>
      </c>
      <c r="I168" s="47">
        <v>0.5719085284163149</v>
      </c>
    </row>
    <row r="169" spans="2:10" x14ac:dyDescent="0.25">
      <c r="B169" s="52" t="s">
        <v>87</v>
      </c>
      <c r="C169" s="46">
        <v>53391063</v>
      </c>
      <c r="D169" s="46">
        <v>43897144.236999989</v>
      </c>
      <c r="E169" s="46">
        <v>9493918.7630000077</v>
      </c>
      <c r="F169" s="46">
        <v>40833583.113999993</v>
      </c>
      <c r="G169" s="46">
        <v>3063561.1229999959</v>
      </c>
      <c r="H169" s="47">
        <v>0.82218149949552399</v>
      </c>
      <c r="I169" s="47">
        <v>0.76480183797801504</v>
      </c>
    </row>
    <row r="170" spans="2:10" x14ac:dyDescent="0.25">
      <c r="B170" s="48" t="s">
        <v>95</v>
      </c>
      <c r="C170" s="69">
        <v>3038640</v>
      </c>
      <c r="D170" s="69">
        <v>2439364.3130000001</v>
      </c>
      <c r="E170" s="69">
        <v>599275.68700000038</v>
      </c>
      <c r="F170" s="69">
        <v>2011184.8970000003</v>
      </c>
      <c r="G170" s="69">
        <v>428179.41599999962</v>
      </c>
      <c r="H170" s="45">
        <v>0.8027816105231288</v>
      </c>
      <c r="I170" s="45">
        <v>0.6618700790485218</v>
      </c>
    </row>
    <row r="171" spans="2:10" x14ac:dyDescent="0.25">
      <c r="B171" s="51" t="s">
        <v>92</v>
      </c>
      <c r="C171" s="46">
        <v>3038640</v>
      </c>
      <c r="D171" s="46">
        <v>2439364.3130000001</v>
      </c>
      <c r="E171" s="46">
        <v>599275.68700000038</v>
      </c>
      <c r="F171" s="46">
        <v>2011184.8970000003</v>
      </c>
      <c r="G171" s="46">
        <v>428179.41599999962</v>
      </c>
      <c r="H171" s="47">
        <v>0.8027816105231288</v>
      </c>
      <c r="I171" s="47">
        <v>0.6618700790485218</v>
      </c>
      <c r="J171" s="63">
        <f>F171/1000</f>
        <v>2011.1848970000003</v>
      </c>
    </row>
    <row r="172" spans="2:10" x14ac:dyDescent="0.25">
      <c r="B172" s="50" t="s">
        <v>96</v>
      </c>
      <c r="C172" s="49">
        <v>115632061.49000001</v>
      </c>
      <c r="D172" s="49">
        <v>66214328.120999999</v>
      </c>
      <c r="E172" s="49">
        <v>49417733.369000018</v>
      </c>
      <c r="F172" s="49">
        <v>58450073.577999994</v>
      </c>
      <c r="G172" s="49">
        <v>7764254.5430000024</v>
      </c>
      <c r="H172" s="45">
        <v>0.57262948759869936</v>
      </c>
      <c r="I172" s="45">
        <v>0.50548327881411004</v>
      </c>
      <c r="J172" s="63">
        <f t="shared" ref="J172:J176" si="2">F172/1000</f>
        <v>58450.073577999996</v>
      </c>
    </row>
    <row r="173" spans="2:10" x14ac:dyDescent="0.25">
      <c r="B173" s="51" t="s">
        <v>88</v>
      </c>
      <c r="C173" s="46">
        <v>91678262.182000011</v>
      </c>
      <c r="D173" s="46">
        <v>48452160.306999996</v>
      </c>
      <c r="E173" s="46">
        <v>43226101.875000015</v>
      </c>
      <c r="F173" s="46">
        <v>43751682.254000001</v>
      </c>
      <c r="G173" s="46">
        <v>4700478.0530000012</v>
      </c>
      <c r="H173" s="47">
        <v>0.52850216784009929</v>
      </c>
      <c r="I173" s="47">
        <v>0.47723071110514731</v>
      </c>
      <c r="J173" s="63">
        <f t="shared" si="2"/>
        <v>43751.682253999999</v>
      </c>
    </row>
    <row r="174" spans="2:10" x14ac:dyDescent="0.25">
      <c r="B174" s="51" t="s">
        <v>89</v>
      </c>
      <c r="C174" s="46">
        <v>7244090</v>
      </c>
      <c r="D174" s="46">
        <v>6728761.648</v>
      </c>
      <c r="E174" s="46">
        <v>515328.35199999862</v>
      </c>
      <c r="F174" s="46">
        <v>5135437.9189999998</v>
      </c>
      <c r="G174" s="46">
        <v>1593323.7290000012</v>
      </c>
      <c r="H174" s="47">
        <v>0.92886223776899512</v>
      </c>
      <c r="I174" s="47">
        <v>0.70891415195007235</v>
      </c>
      <c r="J174" s="63">
        <f t="shared" si="2"/>
        <v>5135.437919</v>
      </c>
    </row>
    <row r="175" spans="2:10" x14ac:dyDescent="0.25">
      <c r="B175" s="51" t="s">
        <v>90</v>
      </c>
      <c r="C175" s="46">
        <v>8215377</v>
      </c>
      <c r="D175" s="46">
        <v>5472909.2310000015</v>
      </c>
      <c r="E175" s="46">
        <v>2742467.7689999999</v>
      </c>
      <c r="F175" s="46">
        <v>4838942.0460000001</v>
      </c>
      <c r="G175" s="46">
        <v>633967.18500000006</v>
      </c>
      <c r="H175" s="47">
        <v>0.66617870744093688</v>
      </c>
      <c r="I175" s="47">
        <v>0.58901034559947762</v>
      </c>
      <c r="J175" s="63">
        <f t="shared" si="2"/>
        <v>4838.9420460000001</v>
      </c>
    </row>
    <row r="176" spans="2:10" x14ac:dyDescent="0.25">
      <c r="B176" s="51" t="s">
        <v>173</v>
      </c>
      <c r="C176" s="46">
        <v>8494332.3080000002</v>
      </c>
      <c r="D176" s="46">
        <v>5560496.9349999996</v>
      </c>
      <c r="E176" s="46">
        <v>2933835.3730000001</v>
      </c>
      <c r="F176" s="46">
        <v>4724011.3589999992</v>
      </c>
      <c r="G176" s="46">
        <v>836485.576</v>
      </c>
      <c r="H176" s="47">
        <v>0.65461259736249056</v>
      </c>
      <c r="I176" s="47">
        <v>0.55613686723215483</v>
      </c>
      <c r="J176" s="63">
        <f t="shared" si="2"/>
        <v>4724.0113589999992</v>
      </c>
    </row>
    <row r="177" spans="2:9" x14ac:dyDescent="0.25">
      <c r="B177" s="87" t="s">
        <v>93</v>
      </c>
      <c r="C177" s="70">
        <v>305969908.49000001</v>
      </c>
      <c r="D177" s="70">
        <v>207626690.78999999</v>
      </c>
      <c r="E177" s="70">
        <v>98343217.700000048</v>
      </c>
      <c r="F177" s="70">
        <v>177878051.167</v>
      </c>
      <c r="G177" s="70">
        <v>29748639.623000003</v>
      </c>
      <c r="H177" s="74">
        <v>0.67858532825879458</v>
      </c>
      <c r="I177" s="74">
        <v>0.58135799054505244</v>
      </c>
    </row>
    <row r="179" spans="2:9" x14ac:dyDescent="0.25">
      <c r="F179" s="63"/>
    </row>
    <row r="199" spans="2:8" x14ac:dyDescent="0.25">
      <c r="B199" s="98" t="s">
        <v>189</v>
      </c>
      <c r="C199" s="44">
        <f>G199/1000</f>
        <v>187299.20699999999</v>
      </c>
      <c r="D199" s="44">
        <f>H199/1000</f>
        <v>111472.26585</v>
      </c>
      <c r="E199" s="134">
        <f>D199/C199</f>
        <v>0.59515610148845954</v>
      </c>
      <c r="G199" s="44">
        <v>187299207</v>
      </c>
      <c r="H199" s="44">
        <v>111472265.84999999</v>
      </c>
    </row>
    <row r="200" spans="2:8" x14ac:dyDescent="0.25">
      <c r="B200" s="48" t="s">
        <v>195</v>
      </c>
      <c r="C200" s="69">
        <f t="shared" ref="C200:D202" si="3">G200/1000</f>
        <v>3038.64</v>
      </c>
      <c r="D200" s="69">
        <f t="shared" si="3"/>
        <v>1806.1780870000002</v>
      </c>
      <c r="E200" s="134">
        <f t="shared" ref="E200:E202" si="4">D200/C200</f>
        <v>0.59440344594950378</v>
      </c>
      <c r="G200" s="69">
        <v>3038640</v>
      </c>
      <c r="H200" s="69">
        <v>1806178.0870000003</v>
      </c>
    </row>
    <row r="201" spans="2:8" x14ac:dyDescent="0.25">
      <c r="B201" s="50" t="s">
        <v>196</v>
      </c>
      <c r="C201" s="49">
        <f t="shared" si="3"/>
        <v>116676.46793799999</v>
      </c>
      <c r="D201" s="49">
        <f t="shared" si="3"/>
        <v>51175.257805999994</v>
      </c>
      <c r="E201" s="134">
        <f t="shared" si="4"/>
        <v>0.43860821903859576</v>
      </c>
      <c r="G201" s="49">
        <v>116676467.93799999</v>
      </c>
      <c r="H201" s="49">
        <v>51175257.805999994</v>
      </c>
    </row>
    <row r="202" spans="2:8" ht="30" x14ac:dyDescent="0.25">
      <c r="B202" s="87" t="s">
        <v>194</v>
      </c>
      <c r="C202" s="70">
        <f t="shared" si="3"/>
        <v>307014.31493799994</v>
      </c>
      <c r="D202" s="70">
        <f t="shared" si="3"/>
        <v>164453.70174300001</v>
      </c>
      <c r="E202" s="135">
        <f t="shared" si="4"/>
        <v>0.5356548334764476</v>
      </c>
      <c r="G202" s="70">
        <v>307014314.93799996</v>
      </c>
      <c r="H202" s="70">
        <v>164453701.743</v>
      </c>
    </row>
    <row r="205" spans="2:8" x14ac:dyDescent="0.25">
      <c r="B205" t="s">
        <v>192</v>
      </c>
    </row>
    <row r="208" spans="2:8" x14ac:dyDescent="0.25">
      <c r="B208" t="s">
        <v>193</v>
      </c>
    </row>
  </sheetData>
  <pageMargins left="0.7" right="0.7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7:I114"/>
  <sheetViews>
    <sheetView zoomScale="70" zoomScaleNormal="70" workbookViewId="0">
      <selection activeCell="D13" activeCellId="2" sqref="D8:I9 D11:I11 D13:I13"/>
    </sheetView>
  </sheetViews>
  <sheetFormatPr baseColWidth="10" defaultRowHeight="15" x14ac:dyDescent="0.25"/>
  <sheetData>
    <row r="7" spans="2:9" x14ac:dyDescent="0.25">
      <c r="B7" s="314">
        <v>2022</v>
      </c>
      <c r="C7" s="314" t="s">
        <v>99</v>
      </c>
      <c r="D7" s="317" t="s">
        <v>176</v>
      </c>
      <c r="E7" s="318"/>
      <c r="F7" s="319"/>
      <c r="G7" s="317" t="s">
        <v>177</v>
      </c>
      <c r="H7" s="318"/>
      <c r="I7" s="319"/>
    </row>
    <row r="8" spans="2:9" ht="16.5" customHeight="1" x14ac:dyDescent="0.25">
      <c r="B8" s="315"/>
      <c r="C8" s="315"/>
      <c r="D8" s="320" t="s">
        <v>94</v>
      </c>
      <c r="E8" s="321"/>
      <c r="F8" s="322"/>
      <c r="G8" s="320" t="s">
        <v>100</v>
      </c>
      <c r="H8" s="321"/>
      <c r="I8" s="322"/>
    </row>
    <row r="9" spans="2:9" x14ac:dyDescent="0.25">
      <c r="B9" s="315"/>
      <c r="C9" s="315"/>
      <c r="D9" s="312" t="s">
        <v>2</v>
      </c>
      <c r="E9" s="312" t="s">
        <v>97</v>
      </c>
      <c r="F9" s="122" t="s">
        <v>101</v>
      </c>
      <c r="G9" s="312" t="s">
        <v>2</v>
      </c>
      <c r="H9" s="312" t="s">
        <v>97</v>
      </c>
      <c r="I9" s="122" t="s">
        <v>101</v>
      </c>
    </row>
    <row r="10" spans="2:9" x14ac:dyDescent="0.25">
      <c r="B10" s="316"/>
      <c r="C10" s="316"/>
      <c r="D10" s="313"/>
      <c r="E10" s="313"/>
      <c r="F10" s="123" t="s">
        <v>97</v>
      </c>
      <c r="G10" s="313"/>
      <c r="H10" s="313"/>
      <c r="I10" s="123" t="s">
        <v>97</v>
      </c>
    </row>
    <row r="11" spans="2:9" ht="16.5" x14ac:dyDescent="0.25">
      <c r="B11" s="124">
        <v>21</v>
      </c>
      <c r="C11" s="125" t="s">
        <v>9</v>
      </c>
      <c r="D11" s="126">
        <v>21054612</v>
      </c>
      <c r="E11" s="126">
        <v>13232490</v>
      </c>
      <c r="F11" s="127">
        <v>0.62848415349568065</v>
      </c>
      <c r="G11" s="126">
        <v>3581534</v>
      </c>
      <c r="H11" s="126">
        <v>1624276</v>
      </c>
      <c r="I11" s="127">
        <v>0.45351405291699032</v>
      </c>
    </row>
    <row r="12" spans="2:9" ht="24.75" x14ac:dyDescent="0.25">
      <c r="B12" s="124">
        <v>22</v>
      </c>
      <c r="C12" s="125" t="s">
        <v>10</v>
      </c>
      <c r="D12" s="126">
        <v>4673751</v>
      </c>
      <c r="E12" s="126">
        <v>1984458</v>
      </c>
      <c r="F12" s="127">
        <v>0.42459643228747102</v>
      </c>
      <c r="G12" s="126">
        <v>181368</v>
      </c>
      <c r="H12" s="126">
        <v>28204</v>
      </c>
      <c r="I12" s="127">
        <v>0.15550703541969918</v>
      </c>
    </row>
    <row r="13" spans="2:9" ht="16.5" x14ac:dyDescent="0.25">
      <c r="B13" s="124">
        <v>24</v>
      </c>
      <c r="C13" s="125" t="s">
        <v>25</v>
      </c>
      <c r="D13" s="126">
        <v>65862348</v>
      </c>
      <c r="E13" s="126">
        <v>37671247</v>
      </c>
      <c r="F13" s="127">
        <v>0.57196938985533885</v>
      </c>
      <c r="G13" s="126">
        <v>43071385</v>
      </c>
      <c r="H13" s="126">
        <v>30622320</v>
      </c>
      <c r="I13" s="127">
        <v>0.71096668936928775</v>
      </c>
    </row>
    <row r="14" spans="2:9" ht="24.75" x14ac:dyDescent="0.25">
      <c r="B14" s="124">
        <v>29</v>
      </c>
      <c r="C14" s="125" t="s">
        <v>102</v>
      </c>
      <c r="D14" s="126">
        <v>651465</v>
      </c>
      <c r="E14" s="126">
        <v>201207</v>
      </c>
      <c r="F14" s="127">
        <v>0.30885312334507609</v>
      </c>
      <c r="G14" s="128">
        <v>0</v>
      </c>
      <c r="H14" s="128">
        <v>0</v>
      </c>
      <c r="I14" s="124" t="s">
        <v>85</v>
      </c>
    </row>
    <row r="16" spans="2:9" x14ac:dyDescent="0.25">
      <c r="B16" s="307">
        <v>2023</v>
      </c>
      <c r="C16" s="307" t="s">
        <v>99</v>
      </c>
      <c r="D16" s="301" t="s">
        <v>176</v>
      </c>
      <c r="E16" s="302"/>
      <c r="F16" s="303"/>
      <c r="G16" s="301" t="s">
        <v>177</v>
      </c>
      <c r="H16" s="302"/>
      <c r="I16" s="303"/>
    </row>
    <row r="17" spans="2:9" x14ac:dyDescent="0.25">
      <c r="B17" s="311"/>
      <c r="C17" s="311"/>
      <c r="D17" s="304" t="s">
        <v>94</v>
      </c>
      <c r="E17" s="305"/>
      <c r="F17" s="306"/>
      <c r="G17" s="304" t="s">
        <v>100</v>
      </c>
      <c r="H17" s="305"/>
      <c r="I17" s="306"/>
    </row>
    <row r="18" spans="2:9" x14ac:dyDescent="0.25">
      <c r="B18" s="311"/>
      <c r="C18" s="311"/>
      <c r="D18" s="307" t="s">
        <v>2</v>
      </c>
      <c r="E18" s="307" t="s">
        <v>97</v>
      </c>
      <c r="F18" s="53" t="s">
        <v>101</v>
      </c>
      <c r="G18" s="307" t="s">
        <v>2</v>
      </c>
      <c r="H18" s="307" t="s">
        <v>97</v>
      </c>
      <c r="I18" s="53" t="s">
        <v>101</v>
      </c>
    </row>
    <row r="19" spans="2:9" x14ac:dyDescent="0.25">
      <c r="B19" s="308"/>
      <c r="C19" s="308"/>
      <c r="D19" s="308"/>
      <c r="E19" s="308"/>
      <c r="F19" s="54" t="s">
        <v>97</v>
      </c>
      <c r="G19" s="308"/>
      <c r="H19" s="308"/>
      <c r="I19" s="54" t="s">
        <v>97</v>
      </c>
    </row>
    <row r="20" spans="2:9" ht="22.5" x14ac:dyDescent="0.25">
      <c r="B20" s="55">
        <v>21</v>
      </c>
      <c r="C20" s="56" t="s">
        <v>9</v>
      </c>
      <c r="D20" s="57">
        <v>26525102</v>
      </c>
      <c r="E20" s="57">
        <v>14748751.348999999</v>
      </c>
      <c r="F20" s="59">
        <v>0.55602995792438425</v>
      </c>
      <c r="G20" s="57">
        <v>3889773</v>
      </c>
      <c r="H20" s="57">
        <v>1770369.923</v>
      </c>
      <c r="I20" s="61">
        <v>0.45513450862042593</v>
      </c>
    </row>
    <row r="21" spans="2:9" ht="33.75" x14ac:dyDescent="0.25">
      <c r="B21" s="55">
        <v>22</v>
      </c>
      <c r="C21" s="56" t="s">
        <v>10</v>
      </c>
      <c r="D21" s="57">
        <v>5334133.9999999972</v>
      </c>
      <c r="E21" s="57">
        <v>2357030.8149999985</v>
      </c>
      <c r="F21" s="59">
        <v>0.44187694103672681</v>
      </c>
      <c r="G21" s="57">
        <v>298308</v>
      </c>
      <c r="H21" s="57">
        <v>37393.702000000012</v>
      </c>
      <c r="I21" s="61">
        <v>0.12535266234898162</v>
      </c>
    </row>
    <row r="22" spans="2:9" ht="22.5" x14ac:dyDescent="0.25">
      <c r="B22" s="55">
        <v>24</v>
      </c>
      <c r="C22" s="56" t="s">
        <v>25</v>
      </c>
      <c r="D22" s="57">
        <v>77990400.000000015</v>
      </c>
      <c r="E22" s="57">
        <v>43388288.671999998</v>
      </c>
      <c r="F22" s="59">
        <v>0.55632858238962735</v>
      </c>
      <c r="G22" s="57">
        <v>46646627</v>
      </c>
      <c r="H22" s="57">
        <v>36460344.335999995</v>
      </c>
      <c r="I22" s="61">
        <v>0.78162874104487756</v>
      </c>
    </row>
    <row r="23" spans="2:9" ht="33.75" x14ac:dyDescent="0.25">
      <c r="B23" s="55">
        <v>29</v>
      </c>
      <c r="C23" s="56" t="s">
        <v>102</v>
      </c>
      <c r="D23" s="57">
        <v>988324</v>
      </c>
      <c r="E23" s="57">
        <v>233914.48</v>
      </c>
      <c r="F23" s="59">
        <v>0.23667793152852709</v>
      </c>
      <c r="G23" s="83">
        <v>0</v>
      </c>
      <c r="H23" s="83">
        <v>0</v>
      </c>
      <c r="I23" s="61" t="s">
        <v>85</v>
      </c>
    </row>
    <row r="27" spans="2:9" x14ac:dyDescent="0.25">
      <c r="C27">
        <v>2022</v>
      </c>
      <c r="D27">
        <v>2023</v>
      </c>
    </row>
    <row r="28" spans="2:9" x14ac:dyDescent="0.25">
      <c r="B28" s="18" t="s">
        <v>29</v>
      </c>
      <c r="C28" s="10">
        <v>1</v>
      </c>
      <c r="D28" s="10">
        <v>1</v>
      </c>
      <c r="E28" s="15">
        <v>934210</v>
      </c>
      <c r="F28" s="63">
        <f>E28/1000</f>
        <v>934.21</v>
      </c>
    </row>
    <row r="29" spans="2:9" x14ac:dyDescent="0.25">
      <c r="B29" s="18" t="s">
        <v>172</v>
      </c>
      <c r="C29" s="10">
        <v>1</v>
      </c>
      <c r="D29" s="10">
        <v>1</v>
      </c>
      <c r="E29" s="15">
        <v>4198545</v>
      </c>
      <c r="F29" s="63">
        <f t="shared" ref="F29:F36" si="0">E29/1000</f>
        <v>4198.5450000000001</v>
      </c>
    </row>
    <row r="30" spans="2:9" x14ac:dyDescent="0.25">
      <c r="B30" s="18" t="s">
        <v>31</v>
      </c>
      <c r="C30" s="10">
        <v>1</v>
      </c>
      <c r="D30" s="10">
        <v>1</v>
      </c>
      <c r="E30" s="15">
        <v>3370938</v>
      </c>
      <c r="F30" s="63">
        <f t="shared" si="0"/>
        <v>3370.9380000000001</v>
      </c>
    </row>
    <row r="31" spans="2:9" x14ac:dyDescent="0.25">
      <c r="B31" s="18" t="s">
        <v>33</v>
      </c>
      <c r="C31" s="10">
        <v>1</v>
      </c>
      <c r="D31" s="10">
        <v>1</v>
      </c>
      <c r="E31" s="15">
        <v>3657784</v>
      </c>
      <c r="F31" s="63">
        <f t="shared" si="0"/>
        <v>3657.7840000000001</v>
      </c>
    </row>
    <row r="32" spans="2:9" x14ac:dyDescent="0.25">
      <c r="B32" s="18" t="s">
        <v>35</v>
      </c>
      <c r="C32" s="10">
        <v>1</v>
      </c>
      <c r="D32" s="10">
        <v>1</v>
      </c>
      <c r="E32" s="15">
        <v>2292892</v>
      </c>
      <c r="F32" s="63">
        <f t="shared" si="0"/>
        <v>2292.8919999999998</v>
      </c>
    </row>
    <row r="33" spans="2:6" x14ac:dyDescent="0.25">
      <c r="B33" s="18" t="s">
        <v>37</v>
      </c>
      <c r="C33" s="10">
        <v>0.96547648095115235</v>
      </c>
      <c r="D33" s="10">
        <v>0.926670219042943</v>
      </c>
      <c r="E33" s="15">
        <v>4116359</v>
      </c>
      <c r="F33" s="63">
        <f t="shared" si="0"/>
        <v>4116.3590000000004</v>
      </c>
    </row>
    <row r="34" spans="2:6" x14ac:dyDescent="0.25">
      <c r="B34" s="18" t="s">
        <v>39</v>
      </c>
      <c r="C34" s="10">
        <v>0.95179344457741</v>
      </c>
      <c r="D34" s="10">
        <v>0.99687464286403382</v>
      </c>
      <c r="E34" s="15">
        <v>3209481.5</v>
      </c>
      <c r="F34" s="63">
        <f t="shared" si="0"/>
        <v>3209.4814999999999</v>
      </c>
    </row>
    <row r="35" spans="2:6" x14ac:dyDescent="0.25">
      <c r="B35" s="18" t="s">
        <v>41</v>
      </c>
      <c r="C35" s="10">
        <v>0.86900586533895274</v>
      </c>
      <c r="D35" s="10">
        <v>1</v>
      </c>
      <c r="E35" s="15">
        <v>1358713</v>
      </c>
      <c r="F35" s="63">
        <f t="shared" si="0"/>
        <v>1358.713</v>
      </c>
    </row>
    <row r="36" spans="2:6" x14ac:dyDescent="0.25">
      <c r="B36" s="29" t="s">
        <v>43</v>
      </c>
      <c r="C36" s="10">
        <v>0.99999941154628569</v>
      </c>
      <c r="D36" s="10">
        <v>0.99999833926492543</v>
      </c>
      <c r="E36" s="15">
        <v>1505355</v>
      </c>
      <c r="F36" s="63">
        <f t="shared" si="0"/>
        <v>1505.355</v>
      </c>
    </row>
    <row r="54" spans="1:4" x14ac:dyDescent="0.25">
      <c r="C54">
        <v>2022</v>
      </c>
      <c r="D54">
        <v>2023</v>
      </c>
    </row>
    <row r="55" spans="1:4" x14ac:dyDescent="0.25">
      <c r="A55" s="16" t="s">
        <v>50</v>
      </c>
      <c r="B55" s="18" t="s">
        <v>51</v>
      </c>
      <c r="C55" s="129">
        <v>0.26701799508388502</v>
      </c>
      <c r="D55" s="129">
        <v>0.33149134256415524</v>
      </c>
    </row>
    <row r="56" spans="1:4" x14ac:dyDescent="0.25">
      <c r="A56" s="16" t="s">
        <v>52</v>
      </c>
      <c r="B56" s="18" t="s">
        <v>53</v>
      </c>
      <c r="C56" s="129">
        <v>0.57545224522286631</v>
      </c>
      <c r="D56" s="129">
        <v>0.58702925223458291</v>
      </c>
    </row>
    <row r="57" spans="1:4" x14ac:dyDescent="0.25">
      <c r="A57" s="16" t="s">
        <v>54</v>
      </c>
      <c r="B57" s="18" t="s">
        <v>55</v>
      </c>
      <c r="C57" s="129">
        <v>0.44203082518743936</v>
      </c>
      <c r="D57" s="129">
        <v>0.35216681909898595</v>
      </c>
    </row>
    <row r="58" spans="1:4" x14ac:dyDescent="0.25">
      <c r="A58" s="16" t="s">
        <v>56</v>
      </c>
      <c r="B58" s="18" t="s">
        <v>180</v>
      </c>
      <c r="C58" s="129">
        <v>0.20742385988090772</v>
      </c>
      <c r="D58" s="129">
        <v>0.13374634459801724</v>
      </c>
    </row>
    <row r="59" spans="1:4" x14ac:dyDescent="0.25">
      <c r="A59" s="16" t="s">
        <v>57</v>
      </c>
      <c r="B59" s="18" t="s">
        <v>181</v>
      </c>
      <c r="C59" s="129">
        <v>0.50692134377194675</v>
      </c>
      <c r="D59" s="129">
        <v>0.54390869377319939</v>
      </c>
    </row>
    <row r="60" spans="1:4" x14ac:dyDescent="0.25">
      <c r="A60" s="16" t="s">
        <v>58</v>
      </c>
      <c r="B60" s="18" t="s">
        <v>182</v>
      </c>
      <c r="C60" s="129">
        <v>7.2290766163237791E-2</v>
      </c>
      <c r="D60" s="129">
        <v>6.2388228246738946E-2</v>
      </c>
    </row>
    <row r="61" spans="1:4" x14ac:dyDescent="0.25">
      <c r="A61" s="16" t="s">
        <v>59</v>
      </c>
      <c r="B61" s="18" t="s">
        <v>60</v>
      </c>
      <c r="C61" s="129">
        <v>0.58181215512997464</v>
      </c>
      <c r="D61" s="129">
        <v>0.60583042156479727</v>
      </c>
    </row>
    <row r="62" spans="1:4" x14ac:dyDescent="0.25">
      <c r="A62" s="29" t="s">
        <v>61</v>
      </c>
      <c r="B62" s="18" t="s">
        <v>62</v>
      </c>
      <c r="C62" s="129">
        <v>1.9366924288250032E-2</v>
      </c>
      <c r="D62" s="129">
        <v>7.8127916274694259E-2</v>
      </c>
    </row>
    <row r="63" spans="1:4" x14ac:dyDescent="0.25">
      <c r="A63" s="29" t="s">
        <v>110</v>
      </c>
      <c r="B63" s="18" t="s">
        <v>113</v>
      </c>
      <c r="C63" s="129">
        <v>0.34940423094720108</v>
      </c>
      <c r="D63" s="129">
        <v>0.22094785526458405</v>
      </c>
    </row>
    <row r="64" spans="1:4" x14ac:dyDescent="0.25">
      <c r="A64" s="29" t="s">
        <v>183</v>
      </c>
      <c r="B64" s="18" t="s">
        <v>184</v>
      </c>
      <c r="D64" s="129">
        <v>0</v>
      </c>
    </row>
    <row r="65" spans="4:4" x14ac:dyDescent="0.25">
      <c r="D65" s="130"/>
    </row>
    <row r="84" spans="2:5" x14ac:dyDescent="0.25">
      <c r="D84">
        <v>2022</v>
      </c>
      <c r="E84">
        <v>2023</v>
      </c>
    </row>
    <row r="85" spans="2:5" x14ac:dyDescent="0.25">
      <c r="B85">
        <v>21</v>
      </c>
      <c r="C85" t="s">
        <v>9</v>
      </c>
      <c r="D85" s="8">
        <v>0.45351405291699032</v>
      </c>
      <c r="E85" s="129">
        <v>0.45513450862042593</v>
      </c>
    </row>
    <row r="86" spans="2:5" x14ac:dyDescent="0.25">
      <c r="B86">
        <v>22</v>
      </c>
      <c r="C86" t="s">
        <v>10</v>
      </c>
      <c r="D86" s="8">
        <v>0.15550703541969918</v>
      </c>
      <c r="E86" s="129">
        <v>0.12535266234898162</v>
      </c>
    </row>
    <row r="87" spans="2:5" x14ac:dyDescent="0.25">
      <c r="B87">
        <v>24</v>
      </c>
      <c r="C87" t="s">
        <v>25</v>
      </c>
      <c r="D87" s="8">
        <v>0.71096668936928775</v>
      </c>
      <c r="E87" s="129">
        <v>0.78162874104487756</v>
      </c>
    </row>
    <row r="109" spans="2:5" x14ac:dyDescent="0.25">
      <c r="D109">
        <v>2022</v>
      </c>
      <c r="E109">
        <v>2023</v>
      </c>
    </row>
    <row r="110" spans="2:5" x14ac:dyDescent="0.25">
      <c r="B110" s="16" t="s">
        <v>75</v>
      </c>
      <c r="C110" s="29" t="s">
        <v>76</v>
      </c>
      <c r="D110" s="10">
        <v>0.69078105497891995</v>
      </c>
      <c r="E110" s="10">
        <v>0.73824235526215065</v>
      </c>
    </row>
    <row r="111" spans="2:5" x14ac:dyDescent="0.25">
      <c r="B111" s="16" t="s">
        <v>77</v>
      </c>
      <c r="C111" s="29" t="s">
        <v>78</v>
      </c>
      <c r="D111" s="10">
        <v>0.83232501971141326</v>
      </c>
      <c r="E111" s="10">
        <v>0.92639107511942598</v>
      </c>
    </row>
    <row r="112" spans="2:5" x14ac:dyDescent="0.25">
      <c r="B112" s="16" t="s">
        <v>79</v>
      </c>
      <c r="C112" s="29" t="s">
        <v>80</v>
      </c>
      <c r="D112" s="10">
        <v>0.62087388572263624</v>
      </c>
      <c r="E112" s="10">
        <v>0.63957219359620798</v>
      </c>
    </row>
    <row r="113" spans="2:5" x14ac:dyDescent="0.25">
      <c r="B113" s="16" t="s">
        <v>81</v>
      </c>
      <c r="C113" s="29" t="s">
        <v>82</v>
      </c>
      <c r="D113" s="10">
        <v>0.62669199357141914</v>
      </c>
      <c r="E113" s="10">
        <v>0.70874342361365461</v>
      </c>
    </row>
    <row r="114" spans="2:5" x14ac:dyDescent="0.25">
      <c r="B114" s="16" t="s">
        <v>116</v>
      </c>
      <c r="C114" s="29" t="s">
        <v>117</v>
      </c>
      <c r="D114" s="10">
        <v>0.75340603524128824</v>
      </c>
      <c r="E114" s="10">
        <v>0.79553002709534326</v>
      </c>
    </row>
  </sheetData>
  <mergeCells count="20">
    <mergeCell ref="E18:E19"/>
    <mergeCell ref="G18:G19"/>
    <mergeCell ref="H18:H19"/>
    <mergeCell ref="B16:B19"/>
    <mergeCell ref="C16:C19"/>
    <mergeCell ref="D16:F16"/>
    <mergeCell ref="G16:I16"/>
    <mergeCell ref="D17:F17"/>
    <mergeCell ref="G17:I17"/>
    <mergeCell ref="D18:D19"/>
    <mergeCell ref="D9:D10"/>
    <mergeCell ref="E9:E10"/>
    <mergeCell ref="G9:G10"/>
    <mergeCell ref="H9:H10"/>
    <mergeCell ref="B7:B10"/>
    <mergeCell ref="C7:C10"/>
    <mergeCell ref="D7:F7"/>
    <mergeCell ref="G7:I7"/>
    <mergeCell ref="D8:F8"/>
    <mergeCell ref="G8:I8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outlinePr summaryBelow="0"/>
    <pageSetUpPr fitToPage="1"/>
  </sheetPr>
  <dimension ref="A2:R91"/>
  <sheetViews>
    <sheetView showGridLines="0" zoomScale="90" zoomScaleNormal="90" workbookViewId="0">
      <selection activeCell="A2" sqref="A2:J2"/>
    </sheetView>
  </sheetViews>
  <sheetFormatPr baseColWidth="10" defaultRowHeight="15" x14ac:dyDescent="0.25"/>
  <cols>
    <col min="1" max="1" width="11.42578125" style="22"/>
    <col min="2" max="2" width="55.7109375" customWidth="1"/>
    <col min="3" max="3" width="15.42578125" hidden="1" customWidth="1"/>
    <col min="4" max="8" width="15.42578125" customWidth="1"/>
    <col min="9" max="10" width="12.5703125" customWidth="1"/>
    <col min="11" max="12" width="15.42578125" customWidth="1"/>
    <col min="13" max="13" width="11.28515625" customWidth="1"/>
    <col min="14" max="18" width="11.42578125" customWidth="1"/>
  </cols>
  <sheetData>
    <row r="2" spans="1:12" x14ac:dyDescent="0.25">
      <c r="A2" s="288" t="s">
        <v>23</v>
      </c>
      <c r="B2" s="288"/>
      <c r="C2" s="288"/>
      <c r="D2" s="288"/>
      <c r="E2" s="288"/>
      <c r="F2" s="288"/>
      <c r="G2" s="288"/>
      <c r="H2" s="288"/>
      <c r="I2" s="288"/>
      <c r="J2" s="288"/>
      <c r="K2" s="97"/>
    </row>
    <row r="3" spans="1:12" x14ac:dyDescent="0.25">
      <c r="A3" s="287" t="s">
        <v>316</v>
      </c>
      <c r="B3" s="287"/>
      <c r="C3" s="287"/>
      <c r="D3" s="287"/>
      <c r="E3" s="287"/>
      <c r="F3" s="287"/>
      <c r="G3" s="287"/>
      <c r="H3" s="287"/>
      <c r="I3" s="287"/>
      <c r="J3" s="287"/>
      <c r="K3" s="96"/>
    </row>
    <row r="4" spans="1:12" x14ac:dyDescent="0.25">
      <c r="A4" s="92"/>
      <c r="B4" s="93"/>
      <c r="C4" s="94"/>
      <c r="D4" s="94"/>
      <c r="E4" s="94"/>
      <c r="F4" s="94"/>
      <c r="G4" s="94"/>
      <c r="H4" s="94"/>
      <c r="I4" s="95"/>
      <c r="J4" s="95"/>
      <c r="K4" s="94"/>
      <c r="L4" s="94"/>
    </row>
    <row r="5" spans="1:12" x14ac:dyDescent="0.25">
      <c r="A5" s="171" t="s">
        <v>270</v>
      </c>
      <c r="J5" s="95"/>
    </row>
    <row r="6" spans="1:12" ht="25.5" x14ac:dyDescent="0.25">
      <c r="A6" s="1" t="s">
        <v>0</v>
      </c>
      <c r="B6" s="2" t="s">
        <v>1</v>
      </c>
      <c r="C6" s="2" t="s">
        <v>321</v>
      </c>
      <c r="D6" s="64" t="s">
        <v>307</v>
      </c>
      <c r="E6" s="2" t="s">
        <v>3</v>
      </c>
      <c r="F6" s="2" t="s">
        <v>4</v>
      </c>
      <c r="G6" s="2" t="s">
        <v>5</v>
      </c>
      <c r="H6" s="3" t="s">
        <v>6</v>
      </c>
      <c r="I6" s="4" t="s">
        <v>7</v>
      </c>
      <c r="J6" s="4" t="s">
        <v>185</v>
      </c>
      <c r="K6" s="3" t="s">
        <v>318</v>
      </c>
      <c r="L6" s="64" t="s">
        <v>389</v>
      </c>
    </row>
    <row r="7" spans="1:12" x14ac:dyDescent="0.25">
      <c r="A7" s="5" t="s">
        <v>281</v>
      </c>
      <c r="B7" s="6" t="s">
        <v>25</v>
      </c>
      <c r="C7" s="7">
        <f>+C8</f>
        <v>170090</v>
      </c>
      <c r="D7" s="7">
        <f>+D8</f>
        <v>75090</v>
      </c>
      <c r="E7" s="7">
        <f>+E8</f>
        <v>420248.201</v>
      </c>
      <c r="F7" s="7">
        <f>+D7-E7</f>
        <v>-345158.201</v>
      </c>
      <c r="G7" s="7">
        <f>+G8</f>
        <v>420248.201</v>
      </c>
      <c r="H7" s="7">
        <f>+E7-G7</f>
        <v>0</v>
      </c>
      <c r="I7" s="8">
        <f t="shared" ref="I7:I25" si="0">+E7/D7</f>
        <v>5.5965934345452126</v>
      </c>
      <c r="J7" s="8">
        <f t="shared" ref="J7:J25" si="1">+G7/D7</f>
        <v>5.5965934345452126</v>
      </c>
      <c r="K7" s="7">
        <f>+K8</f>
        <v>91043.47</v>
      </c>
      <c r="L7" s="192">
        <f>+L8</f>
        <v>329204.73100000003</v>
      </c>
    </row>
    <row r="8" spans="1:12" x14ac:dyDescent="0.25">
      <c r="A8" s="175" t="s">
        <v>282</v>
      </c>
      <c r="B8" s="176" t="s">
        <v>283</v>
      </c>
      <c r="C8" s="177">
        <f t="shared" ref="C8:H8" si="2">+C9+C10</f>
        <v>170090</v>
      </c>
      <c r="D8" s="177">
        <f t="shared" si="2"/>
        <v>75090</v>
      </c>
      <c r="E8" s="177">
        <f t="shared" si="2"/>
        <v>420248.201</v>
      </c>
      <c r="F8" s="177">
        <f t="shared" si="2"/>
        <v>-345158.201</v>
      </c>
      <c r="G8" s="177">
        <f t="shared" si="2"/>
        <v>420248.201</v>
      </c>
      <c r="H8" s="177">
        <f t="shared" si="2"/>
        <v>0</v>
      </c>
      <c r="I8" s="27">
        <f t="shared" si="0"/>
        <v>5.5965934345452126</v>
      </c>
      <c r="J8" s="27">
        <f t="shared" si="1"/>
        <v>5.5965934345452126</v>
      </c>
      <c r="K8" s="177">
        <f>+K9+K10</f>
        <v>91043.47</v>
      </c>
      <c r="L8" s="177">
        <f>+L9+L10</f>
        <v>329204.73100000003</v>
      </c>
    </row>
    <row r="9" spans="1:12" x14ac:dyDescent="0.25">
      <c r="A9" s="30" t="s">
        <v>284</v>
      </c>
      <c r="B9" s="179" t="s">
        <v>285</v>
      </c>
      <c r="C9" s="9">
        <v>170080</v>
      </c>
      <c r="D9" s="9">
        <v>75080</v>
      </c>
      <c r="E9" s="9">
        <v>68637.474000000002</v>
      </c>
      <c r="F9" s="65">
        <f t="shared" ref="F9:F24" si="3">+D9-E9</f>
        <v>6442.525999999998</v>
      </c>
      <c r="G9" s="9">
        <v>68637.474000000002</v>
      </c>
      <c r="H9" s="9">
        <f t="shared" ref="H9:H24" si="4">+E9-G9</f>
        <v>0</v>
      </c>
      <c r="I9" s="10">
        <f t="shared" si="0"/>
        <v>0.91419118273841238</v>
      </c>
      <c r="J9" s="10">
        <f t="shared" si="1"/>
        <v>0.91419118273841238</v>
      </c>
      <c r="K9" s="9">
        <v>68637.474000000002</v>
      </c>
      <c r="L9" s="9">
        <v>0</v>
      </c>
    </row>
    <row r="10" spans="1:12" x14ac:dyDescent="0.25">
      <c r="A10" s="30" t="s">
        <v>286</v>
      </c>
      <c r="B10" s="179" t="s">
        <v>287</v>
      </c>
      <c r="C10" s="9">
        <v>10</v>
      </c>
      <c r="D10" s="9">
        <v>10</v>
      </c>
      <c r="E10" s="9">
        <v>351610.72700000001</v>
      </c>
      <c r="F10" s="65">
        <f t="shared" si="3"/>
        <v>-351600.72700000001</v>
      </c>
      <c r="G10" s="9">
        <v>351610.72700000001</v>
      </c>
      <c r="H10" s="9">
        <f t="shared" si="4"/>
        <v>0</v>
      </c>
      <c r="I10" s="10">
        <f t="shared" si="0"/>
        <v>35161.072700000004</v>
      </c>
      <c r="J10" s="10">
        <f t="shared" si="1"/>
        <v>35161.072700000004</v>
      </c>
      <c r="K10" s="9">
        <v>22405.995999999999</v>
      </c>
      <c r="L10" s="9">
        <v>329204.73100000003</v>
      </c>
    </row>
    <row r="11" spans="1:12" x14ac:dyDescent="0.25">
      <c r="A11" s="172" t="s">
        <v>288</v>
      </c>
      <c r="B11" s="173" t="s">
        <v>289</v>
      </c>
      <c r="C11" s="174">
        <v>13766</v>
      </c>
      <c r="D11" s="174">
        <v>13766</v>
      </c>
      <c r="E11" s="174">
        <v>0</v>
      </c>
      <c r="F11" s="7">
        <f t="shared" si="3"/>
        <v>13766</v>
      </c>
      <c r="G11" s="174">
        <v>0</v>
      </c>
      <c r="H11" s="174">
        <f t="shared" si="4"/>
        <v>0</v>
      </c>
      <c r="I11" s="8">
        <f t="shared" si="0"/>
        <v>0</v>
      </c>
      <c r="J11" s="8">
        <f t="shared" si="1"/>
        <v>0</v>
      </c>
      <c r="K11" s="174">
        <v>0</v>
      </c>
      <c r="L11" s="174">
        <f>+I11-K11</f>
        <v>0</v>
      </c>
    </row>
    <row r="12" spans="1:12" x14ac:dyDescent="0.25">
      <c r="A12" s="172" t="s">
        <v>290</v>
      </c>
      <c r="B12" s="173" t="s">
        <v>291</v>
      </c>
      <c r="C12" s="174">
        <f>SUM(C13:C15)</f>
        <v>251840</v>
      </c>
      <c r="D12" s="174">
        <f>SUM(D13:D15)</f>
        <v>1770899</v>
      </c>
      <c r="E12" s="174">
        <f>SUM(E13:E15)</f>
        <v>2163568.5140000004</v>
      </c>
      <c r="F12" s="7">
        <f t="shared" si="3"/>
        <v>-392669.51400000043</v>
      </c>
      <c r="G12" s="174">
        <f>SUM(G13:G15)</f>
        <v>2163568.5140000004</v>
      </c>
      <c r="H12" s="174">
        <f t="shared" si="4"/>
        <v>0</v>
      </c>
      <c r="I12" s="8">
        <f t="shared" si="0"/>
        <v>1.2217345619371858</v>
      </c>
      <c r="J12" s="8">
        <f t="shared" si="1"/>
        <v>1.2217345619371858</v>
      </c>
      <c r="K12" s="174">
        <f>SUM(K13:K15)</f>
        <v>2066090.4929999998</v>
      </c>
      <c r="L12" s="174">
        <f>SUM(L13:L15)</f>
        <v>97478.020999999993</v>
      </c>
    </row>
    <row r="13" spans="1:12" x14ac:dyDescent="0.25">
      <c r="A13" s="30" t="s">
        <v>292</v>
      </c>
      <c r="B13" s="179" t="s">
        <v>293</v>
      </c>
      <c r="C13" s="9">
        <v>10</v>
      </c>
      <c r="D13" s="9">
        <v>408778</v>
      </c>
      <c r="E13" s="9">
        <v>640810.46900000004</v>
      </c>
      <c r="F13" s="65">
        <f t="shared" si="3"/>
        <v>-232032.46900000004</v>
      </c>
      <c r="G13" s="9">
        <v>640810.46900000004</v>
      </c>
      <c r="H13" s="9">
        <f t="shared" si="4"/>
        <v>0</v>
      </c>
      <c r="I13" s="10">
        <f t="shared" si="0"/>
        <v>1.5676246495652899</v>
      </c>
      <c r="J13" s="10">
        <f t="shared" si="1"/>
        <v>1.5676246495652899</v>
      </c>
      <c r="K13" s="9">
        <v>543332.44799999997</v>
      </c>
      <c r="L13" s="9">
        <v>97478.020999999993</v>
      </c>
    </row>
    <row r="14" spans="1:12" x14ac:dyDescent="0.25">
      <c r="A14" s="30" t="s">
        <v>294</v>
      </c>
      <c r="B14" s="179" t="s">
        <v>295</v>
      </c>
      <c r="C14" s="9">
        <v>0</v>
      </c>
      <c r="D14" s="9">
        <v>5920</v>
      </c>
      <c r="E14" s="9">
        <v>4527.51</v>
      </c>
      <c r="F14" s="65">
        <f t="shared" si="3"/>
        <v>1392.4899999999998</v>
      </c>
      <c r="G14" s="9">
        <v>4527.51</v>
      </c>
      <c r="H14" s="9">
        <f t="shared" si="4"/>
        <v>0</v>
      </c>
      <c r="I14" s="10">
        <f t="shared" si="0"/>
        <v>0.76478209459459467</v>
      </c>
      <c r="J14" s="10">
        <f t="shared" si="1"/>
        <v>0.76478209459459467</v>
      </c>
      <c r="K14" s="9">
        <v>4527.51</v>
      </c>
      <c r="L14" s="9">
        <v>0</v>
      </c>
    </row>
    <row r="15" spans="1:12" x14ac:dyDescent="0.25">
      <c r="A15" s="30" t="s">
        <v>296</v>
      </c>
      <c r="B15" s="179" t="s">
        <v>297</v>
      </c>
      <c r="C15" s="9">
        <v>251830</v>
      </c>
      <c r="D15" s="9">
        <v>1356201</v>
      </c>
      <c r="E15" s="9">
        <v>1518230.5350000001</v>
      </c>
      <c r="F15" s="65">
        <f t="shared" si="3"/>
        <v>-162029.53500000015</v>
      </c>
      <c r="G15" s="9">
        <v>1518230.5350000001</v>
      </c>
      <c r="H15" s="9">
        <f t="shared" si="4"/>
        <v>0</v>
      </c>
      <c r="I15" s="10">
        <f t="shared" si="0"/>
        <v>1.1194730980142324</v>
      </c>
      <c r="J15" s="10">
        <f t="shared" si="1"/>
        <v>1.1194730980142324</v>
      </c>
      <c r="K15" s="9">
        <v>1518230.5349999999</v>
      </c>
      <c r="L15" s="9">
        <v>0</v>
      </c>
    </row>
    <row r="16" spans="1:12" x14ac:dyDescent="0.25">
      <c r="A16" s="172" t="s">
        <v>271</v>
      </c>
      <c r="B16" s="173" t="s">
        <v>272</v>
      </c>
      <c r="C16" s="174">
        <f>+C17</f>
        <v>116629798.984</v>
      </c>
      <c r="D16" s="174">
        <f>+D17</f>
        <v>107931143.00000003</v>
      </c>
      <c r="E16" s="174">
        <f>+E17</f>
        <v>88584244.851000011</v>
      </c>
      <c r="F16" s="7">
        <f t="shared" si="3"/>
        <v>19346898.149000019</v>
      </c>
      <c r="G16" s="174">
        <f>+G17</f>
        <v>88584244.851000011</v>
      </c>
      <c r="H16" s="174">
        <f t="shared" si="4"/>
        <v>0</v>
      </c>
      <c r="I16" s="8">
        <f t="shared" si="0"/>
        <v>0.82074776926062931</v>
      </c>
      <c r="J16" s="8">
        <f t="shared" si="1"/>
        <v>0.82074776926062931</v>
      </c>
      <c r="K16" s="174">
        <f>+K17</f>
        <v>88584244.851000011</v>
      </c>
      <c r="L16" s="174">
        <f>+L17</f>
        <v>0</v>
      </c>
    </row>
    <row r="17" spans="1:18" x14ac:dyDescent="0.25">
      <c r="A17" s="175" t="s">
        <v>273</v>
      </c>
      <c r="B17" s="176" t="s">
        <v>274</v>
      </c>
      <c r="C17" s="177">
        <f>+C18+C19</f>
        <v>116629798.984</v>
      </c>
      <c r="D17" s="177">
        <f>+D18+D19</f>
        <v>107931143.00000003</v>
      </c>
      <c r="E17" s="177">
        <f>+E18+E19</f>
        <v>88584244.851000011</v>
      </c>
      <c r="F17" s="66">
        <f t="shared" si="3"/>
        <v>19346898.149000019</v>
      </c>
      <c r="G17" s="177">
        <f>+G18+G19</f>
        <v>88584244.851000011</v>
      </c>
      <c r="H17" s="177">
        <f t="shared" si="4"/>
        <v>0</v>
      </c>
      <c r="I17" s="27">
        <f t="shared" si="0"/>
        <v>0.82074776926062931</v>
      </c>
      <c r="J17" s="27">
        <f t="shared" si="1"/>
        <v>0.82074776926062931</v>
      </c>
      <c r="K17" s="177">
        <f>+K18+K19</f>
        <v>88584244.851000011</v>
      </c>
      <c r="L17" s="177">
        <f>+L18+L19</f>
        <v>0</v>
      </c>
    </row>
    <row r="18" spans="1:18" x14ac:dyDescent="0.25">
      <c r="A18" s="30" t="s">
        <v>275</v>
      </c>
      <c r="B18" s="179" t="s">
        <v>276</v>
      </c>
      <c r="C18" s="9">
        <v>26579495</v>
      </c>
      <c r="D18" s="9">
        <v>23217213</v>
      </c>
      <c r="E18" s="9">
        <v>23279196</v>
      </c>
      <c r="F18" s="65">
        <f t="shared" si="3"/>
        <v>-61983</v>
      </c>
      <c r="G18" s="9">
        <v>23279196</v>
      </c>
      <c r="H18" s="9">
        <f t="shared" si="4"/>
        <v>0</v>
      </c>
      <c r="I18" s="10">
        <f t="shared" si="0"/>
        <v>1.0026697002779792</v>
      </c>
      <c r="J18" s="10">
        <f t="shared" si="1"/>
        <v>1.0026697002779792</v>
      </c>
      <c r="K18" s="9">
        <v>23279196</v>
      </c>
      <c r="L18" s="9">
        <v>0</v>
      </c>
    </row>
    <row r="19" spans="1:18" x14ac:dyDescent="0.25">
      <c r="A19" s="30" t="s">
        <v>277</v>
      </c>
      <c r="B19" s="179" t="s">
        <v>278</v>
      </c>
      <c r="C19" s="9">
        <v>90050303.983999997</v>
      </c>
      <c r="D19" s="9">
        <v>84713930.00000003</v>
      </c>
      <c r="E19" s="9">
        <v>65305048.851000004</v>
      </c>
      <c r="F19" s="65">
        <f t="shared" si="3"/>
        <v>19408881.149000026</v>
      </c>
      <c r="G19" s="9">
        <v>65305048.851000004</v>
      </c>
      <c r="H19" s="9">
        <f t="shared" si="4"/>
        <v>0</v>
      </c>
      <c r="I19" s="10">
        <f t="shared" si="0"/>
        <v>0.7708891424468205</v>
      </c>
      <c r="J19" s="10">
        <f t="shared" si="1"/>
        <v>0.7708891424468205</v>
      </c>
      <c r="K19" s="9">
        <v>65305048.851000004</v>
      </c>
      <c r="L19" s="9">
        <v>0</v>
      </c>
    </row>
    <row r="20" spans="1:18" x14ac:dyDescent="0.25">
      <c r="A20" s="172" t="s">
        <v>298</v>
      </c>
      <c r="B20" s="173" t="s">
        <v>299</v>
      </c>
      <c r="C20" s="174">
        <f>+C21</f>
        <v>0</v>
      </c>
      <c r="D20" s="174">
        <f>+D21</f>
        <v>0</v>
      </c>
      <c r="E20" s="174">
        <f>+E21</f>
        <v>0</v>
      </c>
      <c r="F20" s="7">
        <f t="shared" si="3"/>
        <v>0</v>
      </c>
      <c r="G20" s="174">
        <f>+G21</f>
        <v>0</v>
      </c>
      <c r="H20" s="174">
        <f t="shared" si="4"/>
        <v>0</v>
      </c>
      <c r="I20" s="8">
        <v>0</v>
      </c>
      <c r="J20" s="8">
        <v>0</v>
      </c>
      <c r="K20" s="174">
        <f>+K21</f>
        <v>0</v>
      </c>
      <c r="L20" s="174">
        <f>+L21</f>
        <v>0</v>
      </c>
    </row>
    <row r="21" spans="1:18" x14ac:dyDescent="0.25">
      <c r="A21" s="184" t="s">
        <v>300</v>
      </c>
      <c r="B21" s="185" t="s">
        <v>13</v>
      </c>
      <c r="C21" s="186">
        <v>0</v>
      </c>
      <c r="D21" s="186">
        <v>0</v>
      </c>
      <c r="E21" s="186">
        <v>0</v>
      </c>
      <c r="F21" s="65">
        <f t="shared" si="3"/>
        <v>0</v>
      </c>
      <c r="G21" s="186">
        <v>0</v>
      </c>
      <c r="H21" s="186">
        <f t="shared" si="4"/>
        <v>0</v>
      </c>
      <c r="I21" s="187">
        <v>0</v>
      </c>
      <c r="J21" s="187">
        <v>0</v>
      </c>
      <c r="K21" s="186">
        <v>0</v>
      </c>
      <c r="L21" s="186">
        <v>0</v>
      </c>
    </row>
    <row r="22" spans="1:18" x14ac:dyDescent="0.25">
      <c r="A22" s="172" t="s">
        <v>301</v>
      </c>
      <c r="B22" s="173" t="s">
        <v>302</v>
      </c>
      <c r="C22" s="174">
        <f>+C23</f>
        <v>92541</v>
      </c>
      <c r="D22" s="174">
        <f>+D23</f>
        <v>174798</v>
      </c>
      <c r="E22" s="174">
        <f>+E23</f>
        <v>1909178.416</v>
      </c>
      <c r="F22" s="7">
        <f t="shared" si="3"/>
        <v>-1734380.416</v>
      </c>
      <c r="G22" s="174">
        <f>+G23</f>
        <v>1909178.416</v>
      </c>
      <c r="H22" s="174">
        <f t="shared" si="4"/>
        <v>0</v>
      </c>
      <c r="I22" s="8">
        <f t="shared" si="0"/>
        <v>10.92219828602158</v>
      </c>
      <c r="J22" s="8">
        <f t="shared" si="1"/>
        <v>10.92219828602158</v>
      </c>
      <c r="K22" s="174">
        <f>+K23</f>
        <v>81097.281000000003</v>
      </c>
      <c r="L22" s="174">
        <f>+L23</f>
        <v>1828081.135</v>
      </c>
    </row>
    <row r="23" spans="1:18" x14ac:dyDescent="0.25">
      <c r="A23" s="184" t="s">
        <v>303</v>
      </c>
      <c r="B23" s="185" t="s">
        <v>304</v>
      </c>
      <c r="C23" s="186">
        <v>92541</v>
      </c>
      <c r="D23" s="186">
        <v>174798</v>
      </c>
      <c r="E23" s="186">
        <v>1909178.416</v>
      </c>
      <c r="F23" s="65">
        <f t="shared" si="3"/>
        <v>-1734380.416</v>
      </c>
      <c r="G23" s="186">
        <v>1909178.416</v>
      </c>
      <c r="H23" s="186">
        <f t="shared" si="4"/>
        <v>0</v>
      </c>
      <c r="I23" s="187">
        <f t="shared" si="0"/>
        <v>10.92219828602158</v>
      </c>
      <c r="J23" s="187">
        <f t="shared" si="1"/>
        <v>10.92219828602158</v>
      </c>
      <c r="K23" s="186">
        <v>81097.281000000003</v>
      </c>
      <c r="L23" s="186">
        <v>1828081.135</v>
      </c>
    </row>
    <row r="24" spans="1:18" x14ac:dyDescent="0.25">
      <c r="A24" s="180" t="s">
        <v>279</v>
      </c>
      <c r="B24" s="181" t="s">
        <v>280</v>
      </c>
      <c r="C24" s="174">
        <v>10</v>
      </c>
      <c r="D24" s="174">
        <v>14805424</v>
      </c>
      <c r="E24" s="174">
        <v>0</v>
      </c>
      <c r="F24" s="13">
        <f t="shared" si="3"/>
        <v>14805424</v>
      </c>
      <c r="G24" s="174">
        <v>0</v>
      </c>
      <c r="H24" s="174">
        <f t="shared" si="4"/>
        <v>0</v>
      </c>
      <c r="I24" s="8">
        <f t="shared" si="0"/>
        <v>0</v>
      </c>
      <c r="J24" s="8">
        <f t="shared" si="1"/>
        <v>0</v>
      </c>
      <c r="K24" s="174">
        <v>0</v>
      </c>
      <c r="L24" s="174">
        <f>+I24-K24</f>
        <v>0</v>
      </c>
    </row>
    <row r="25" spans="1:18" x14ac:dyDescent="0.25">
      <c r="A25" s="91"/>
      <c r="B25" s="182" t="s">
        <v>22</v>
      </c>
      <c r="C25" s="183">
        <f t="shared" ref="C25:H25" si="5">+C7+C11+C12+C16+C20+C22+C24</f>
        <v>117158045.984</v>
      </c>
      <c r="D25" s="183">
        <f t="shared" si="5"/>
        <v>124771120.00000003</v>
      </c>
      <c r="E25" s="183">
        <f t="shared" si="5"/>
        <v>93077239.982000008</v>
      </c>
      <c r="F25" s="183">
        <f t="shared" si="5"/>
        <v>31693880.018000018</v>
      </c>
      <c r="G25" s="183">
        <f t="shared" si="5"/>
        <v>93077239.982000008</v>
      </c>
      <c r="H25" s="183">
        <f t="shared" si="5"/>
        <v>0</v>
      </c>
      <c r="I25" s="21">
        <f t="shared" si="0"/>
        <v>0.74598384611759505</v>
      </c>
      <c r="J25" s="21">
        <f t="shared" si="1"/>
        <v>0.74598384611759505</v>
      </c>
      <c r="K25" s="183">
        <f>+K7+K11+K12+K16+K20+K22+K24</f>
        <v>90822476.095000014</v>
      </c>
      <c r="L25" s="183">
        <f>+L7+L11+L12+L16+L20+L22+L24</f>
        <v>2254763.8870000001</v>
      </c>
    </row>
    <row r="26" spans="1:18" x14ac:dyDescent="0.25">
      <c r="A26" s="92"/>
      <c r="B26" s="93"/>
      <c r="C26" s="94"/>
      <c r="D26" s="94"/>
      <c r="E26" s="94"/>
      <c r="F26" s="94"/>
      <c r="G26" s="94"/>
      <c r="H26" s="94"/>
      <c r="I26" s="95"/>
      <c r="J26" s="95"/>
      <c r="K26" s="94"/>
      <c r="L26" s="94"/>
    </row>
    <row r="27" spans="1:18" x14ac:dyDescent="0.25">
      <c r="A27" s="92"/>
      <c r="B27" s="93"/>
      <c r="C27" s="94"/>
      <c r="D27" s="94"/>
      <c r="E27" s="94"/>
      <c r="F27" s="94"/>
      <c r="G27" s="94"/>
      <c r="H27" s="94"/>
      <c r="I27" s="95"/>
      <c r="J27" s="95"/>
      <c r="K27" s="94"/>
      <c r="L27" s="94"/>
    </row>
    <row r="28" spans="1:18" ht="25.5" x14ac:dyDescent="0.25">
      <c r="A28" s="91" t="s">
        <v>0</v>
      </c>
      <c r="B28" s="64" t="s">
        <v>1</v>
      </c>
      <c r="C28" s="2" t="s">
        <v>321</v>
      </c>
      <c r="D28" s="64" t="s">
        <v>307</v>
      </c>
      <c r="E28" s="64" t="s">
        <v>3</v>
      </c>
      <c r="F28" s="64" t="s">
        <v>4</v>
      </c>
      <c r="G28" s="64" t="s">
        <v>5</v>
      </c>
      <c r="H28" s="64" t="s">
        <v>6</v>
      </c>
      <c r="I28" s="64" t="s">
        <v>7</v>
      </c>
      <c r="J28" s="64" t="s">
        <v>185</v>
      </c>
      <c r="K28" s="3" t="s">
        <v>318</v>
      </c>
      <c r="L28" s="64" t="s">
        <v>319</v>
      </c>
    </row>
    <row r="29" spans="1:18" x14ac:dyDescent="0.25">
      <c r="A29" s="71">
        <v>21</v>
      </c>
      <c r="B29" s="72" t="s">
        <v>9</v>
      </c>
      <c r="C29" s="13">
        <v>26579495</v>
      </c>
      <c r="D29" s="13">
        <v>24357187.000000026</v>
      </c>
      <c r="E29" s="13">
        <v>24099603.391000018</v>
      </c>
      <c r="F29" s="13">
        <f t="shared" ref="F29:F37" si="6">+D29-E29</f>
        <v>257583.60900000855</v>
      </c>
      <c r="G29" s="13">
        <v>23946932.673000015</v>
      </c>
      <c r="H29" s="13">
        <f t="shared" ref="H29:H60" si="7">+E29-G29</f>
        <v>152670.71800000221</v>
      </c>
      <c r="I29" s="8">
        <f t="shared" ref="I29:I37" si="8">+E29/D29</f>
        <v>0.98942473903082451</v>
      </c>
      <c r="J29" s="73">
        <f t="shared" ref="J29:J75" si="9">+G29/D29</f>
        <v>0.98315674437282063</v>
      </c>
      <c r="K29" s="13">
        <v>23412784</v>
      </c>
      <c r="L29" s="13">
        <v>534149</v>
      </c>
      <c r="M29" s="23"/>
      <c r="N29" s="23"/>
      <c r="O29" s="23"/>
      <c r="P29" s="23"/>
      <c r="Q29" s="23"/>
      <c r="R29" s="23"/>
    </row>
    <row r="30" spans="1:18" x14ac:dyDescent="0.25">
      <c r="A30" s="71"/>
      <c r="B30" s="189" t="s">
        <v>308</v>
      </c>
      <c r="C30" s="186">
        <v>25543512</v>
      </c>
      <c r="D30" s="186">
        <f>D29-SUM(D31:D37)</f>
        <v>23043630.457000025</v>
      </c>
      <c r="E30" s="186">
        <f t="shared" ref="E30" si="10">E29-SUM(E31:E37)</f>
        <v>23003044.727000017</v>
      </c>
      <c r="F30" s="65">
        <f t="shared" si="6"/>
        <v>40585.730000007898</v>
      </c>
      <c r="G30" s="186">
        <f>G29-SUM(G31:G37)</f>
        <v>22976992.765000015</v>
      </c>
      <c r="H30" s="65">
        <f t="shared" si="7"/>
        <v>26051.962000001222</v>
      </c>
      <c r="I30" s="187">
        <f t="shared" si="8"/>
        <v>0.998238744104331</v>
      </c>
      <c r="J30" s="10">
        <f t="shared" si="9"/>
        <v>0.99710819472980372</v>
      </c>
      <c r="K30" s="186">
        <f>K29-SUM(K31:K37)</f>
        <v>22540758.866</v>
      </c>
      <c r="L30" s="186">
        <f>L29-SUM(L31:L37)</f>
        <v>513442.61099999998</v>
      </c>
      <c r="M30" s="23"/>
      <c r="N30" s="23"/>
      <c r="O30" s="23"/>
      <c r="P30" s="23"/>
      <c r="Q30" s="23"/>
      <c r="R30" s="23"/>
    </row>
    <row r="31" spans="1:18" x14ac:dyDescent="0.25">
      <c r="A31" s="71"/>
      <c r="B31" s="189" t="s">
        <v>309</v>
      </c>
      <c r="C31" s="9">
        <v>80159</v>
      </c>
      <c r="D31" s="9">
        <v>331001</v>
      </c>
      <c r="E31" s="9">
        <v>331001</v>
      </c>
      <c r="F31" s="15">
        <f t="shared" si="6"/>
        <v>0</v>
      </c>
      <c r="G31" s="9">
        <v>243073.83899999998</v>
      </c>
      <c r="H31" s="15">
        <f t="shared" si="7"/>
        <v>87927.161000000022</v>
      </c>
      <c r="I31" s="10">
        <f t="shared" si="8"/>
        <v>1</v>
      </c>
      <c r="J31" s="10">
        <f t="shared" si="9"/>
        <v>0.73435983274974992</v>
      </c>
      <c r="K31" s="9">
        <v>162119.21299999999</v>
      </c>
      <c r="L31" s="15">
        <v>3746.241</v>
      </c>
      <c r="M31" s="23"/>
      <c r="N31" s="23"/>
      <c r="O31" s="23"/>
      <c r="P31" s="23"/>
      <c r="Q31" s="23"/>
      <c r="R31" s="23"/>
    </row>
    <row r="32" spans="1:18" x14ac:dyDescent="0.25">
      <c r="A32" s="71"/>
      <c r="B32" s="189" t="s">
        <v>310</v>
      </c>
      <c r="C32" s="9">
        <v>132713</v>
      </c>
      <c r="D32" s="9">
        <v>79998.359999999986</v>
      </c>
      <c r="E32" s="9">
        <v>37840.913</v>
      </c>
      <c r="F32" s="15">
        <f t="shared" si="6"/>
        <v>42157.446999999986</v>
      </c>
      <c r="G32" s="9">
        <v>19949.526999999998</v>
      </c>
      <c r="H32" s="15">
        <f t="shared" si="7"/>
        <v>17891.386000000002</v>
      </c>
      <c r="I32" s="10">
        <f t="shared" si="8"/>
        <v>0.47302110943274345</v>
      </c>
      <c r="J32" s="10">
        <f t="shared" si="9"/>
        <v>0.24937419967109328</v>
      </c>
      <c r="K32" s="9">
        <v>18439.313000000002</v>
      </c>
      <c r="L32" s="15">
        <v>1510.2139999999999</v>
      </c>
      <c r="M32" s="23"/>
      <c r="N32" s="23"/>
      <c r="O32" s="23"/>
      <c r="P32" s="23"/>
      <c r="Q32" s="23"/>
      <c r="R32" s="23"/>
    </row>
    <row r="33" spans="1:18" x14ac:dyDescent="0.25">
      <c r="A33" s="71"/>
      <c r="B33" s="189" t="s">
        <v>311</v>
      </c>
      <c r="C33" s="9">
        <v>17412</v>
      </c>
      <c r="D33" s="9">
        <v>132713</v>
      </c>
      <c r="E33" s="9">
        <v>115522.20099999996</v>
      </c>
      <c r="F33" s="15">
        <f t="shared" si="6"/>
        <v>17190.799000000043</v>
      </c>
      <c r="G33" s="9">
        <v>112030.57199999996</v>
      </c>
      <c r="H33" s="15">
        <f t="shared" si="7"/>
        <v>3491.6290000000008</v>
      </c>
      <c r="I33" s="10">
        <f t="shared" si="8"/>
        <v>0.870466352203627</v>
      </c>
      <c r="J33" s="10">
        <f t="shared" si="9"/>
        <v>0.84415672918252138</v>
      </c>
      <c r="K33" s="9">
        <v>98318.06700000001</v>
      </c>
      <c r="L33" s="15">
        <v>13712.504999999999</v>
      </c>
      <c r="M33" s="23"/>
      <c r="N33" s="23"/>
      <c r="O33" s="23"/>
      <c r="P33" s="23"/>
      <c r="Q33" s="23"/>
      <c r="R33" s="23"/>
    </row>
    <row r="34" spans="1:18" x14ac:dyDescent="0.25">
      <c r="A34" s="71"/>
      <c r="B34" s="189" t="s">
        <v>312</v>
      </c>
      <c r="C34" s="9">
        <v>474698</v>
      </c>
      <c r="D34" s="9">
        <v>17412</v>
      </c>
      <c r="E34" s="9">
        <v>16775.942999999999</v>
      </c>
      <c r="F34" s="15">
        <f t="shared" si="6"/>
        <v>636.0570000000007</v>
      </c>
      <c r="G34" s="9">
        <v>16775.942999999999</v>
      </c>
      <c r="H34" s="15">
        <f t="shared" si="7"/>
        <v>0</v>
      </c>
      <c r="I34" s="10">
        <f t="shared" si="8"/>
        <v>0.96347019297036518</v>
      </c>
      <c r="J34" s="10">
        <f t="shared" si="9"/>
        <v>0.96347019297036518</v>
      </c>
      <c r="K34" s="9">
        <v>16775.942999999999</v>
      </c>
      <c r="L34" s="15">
        <v>0</v>
      </c>
      <c r="M34" s="23"/>
      <c r="N34" s="23"/>
      <c r="O34" s="23"/>
      <c r="P34" s="23"/>
      <c r="Q34" s="23"/>
      <c r="R34" s="23"/>
    </row>
    <row r="35" spans="1:18" x14ac:dyDescent="0.25">
      <c r="A35" s="71"/>
      <c r="B35" s="190" t="s">
        <v>313</v>
      </c>
      <c r="C35" s="9">
        <v>331001</v>
      </c>
      <c r="D35" s="9">
        <v>505544.00000000006</v>
      </c>
      <c r="E35" s="9">
        <v>399323.79599999997</v>
      </c>
      <c r="F35" s="15">
        <f t="shared" si="6"/>
        <v>106220.20400000009</v>
      </c>
      <c r="G35" s="9">
        <v>382015.766</v>
      </c>
      <c r="H35" s="15">
        <f t="shared" si="7"/>
        <v>17308.02999999997</v>
      </c>
      <c r="I35" s="10">
        <f t="shared" si="8"/>
        <v>0.78988929944772346</v>
      </c>
      <c r="J35" s="10">
        <f t="shared" si="9"/>
        <v>0.75565285316411623</v>
      </c>
      <c r="K35" s="9">
        <v>381609.02500000002</v>
      </c>
      <c r="L35" s="15">
        <v>406.74099999999999</v>
      </c>
      <c r="M35" s="23"/>
      <c r="N35" s="23"/>
      <c r="O35" s="23"/>
      <c r="P35" s="23"/>
      <c r="Q35" s="23"/>
      <c r="R35" s="23"/>
    </row>
    <row r="36" spans="1:18" x14ac:dyDescent="0.25">
      <c r="A36" s="71"/>
      <c r="B36" s="191" t="s">
        <v>314</v>
      </c>
      <c r="C36" s="9">
        <v>0</v>
      </c>
      <c r="D36" s="9">
        <v>3760.6400000000003</v>
      </c>
      <c r="E36" s="9">
        <v>2369.096</v>
      </c>
      <c r="F36" s="15">
        <f t="shared" si="6"/>
        <v>1391.5440000000003</v>
      </c>
      <c r="G36" s="9">
        <v>2369.096</v>
      </c>
      <c r="H36" s="15">
        <f t="shared" si="7"/>
        <v>0</v>
      </c>
      <c r="I36" s="10">
        <f t="shared" si="8"/>
        <v>0.62997149421375076</v>
      </c>
      <c r="J36" s="10">
        <f t="shared" si="9"/>
        <v>0.62997149421375076</v>
      </c>
      <c r="K36" s="9">
        <v>1038.4079999999999</v>
      </c>
      <c r="L36" s="15">
        <v>1330.6880000000001</v>
      </c>
      <c r="M36" s="23"/>
      <c r="N36" s="23"/>
      <c r="O36" s="23"/>
      <c r="P36" s="23"/>
      <c r="Q36" s="23"/>
      <c r="R36" s="23"/>
    </row>
    <row r="37" spans="1:18" x14ac:dyDescent="0.25">
      <c r="A37" s="71"/>
      <c r="B37" s="191" t="s">
        <v>315</v>
      </c>
      <c r="C37" s="9">
        <v>0</v>
      </c>
      <c r="D37" s="9">
        <v>243127.54300000006</v>
      </c>
      <c r="E37" s="9">
        <v>193725.71500000003</v>
      </c>
      <c r="F37" s="15">
        <f t="shared" si="6"/>
        <v>49401.828000000038</v>
      </c>
      <c r="G37" s="9">
        <v>193725.16500000004</v>
      </c>
      <c r="H37" s="15">
        <f t="shared" si="7"/>
        <v>0.54999999998835847</v>
      </c>
      <c r="I37" s="10">
        <f t="shared" si="8"/>
        <v>0.79680694589176992</v>
      </c>
      <c r="J37" s="10">
        <f t="shared" si="9"/>
        <v>0.79680468370463475</v>
      </c>
      <c r="K37" s="9">
        <v>193725.16500000001</v>
      </c>
      <c r="L37" s="15">
        <v>0</v>
      </c>
      <c r="M37" s="23"/>
      <c r="N37" s="23"/>
      <c r="O37" s="23"/>
      <c r="P37" s="23"/>
      <c r="Q37" s="23"/>
      <c r="R37" s="23"/>
    </row>
    <row r="38" spans="1:18" x14ac:dyDescent="0.25">
      <c r="A38" s="71">
        <v>22</v>
      </c>
      <c r="B38" s="72" t="s">
        <v>10</v>
      </c>
      <c r="C38" s="13">
        <v>5334134</v>
      </c>
      <c r="D38" s="13">
        <v>4734133.9999999981</v>
      </c>
      <c r="E38" s="13">
        <v>4521453.8069999982</v>
      </c>
      <c r="F38" s="13">
        <f t="shared" ref="F38:F80" si="11">+D38-E38</f>
        <v>212680.19299999997</v>
      </c>
      <c r="G38" s="13">
        <v>4468330.2169999983</v>
      </c>
      <c r="H38" s="13">
        <f t="shared" si="7"/>
        <v>53123.589999999851</v>
      </c>
      <c r="I38" s="8">
        <f t="shared" ref="I38:I75" si="12">+E38/D38</f>
        <v>0.95507516411660509</v>
      </c>
      <c r="J38" s="73">
        <f t="shared" si="9"/>
        <v>0.94385376860900005</v>
      </c>
      <c r="K38" s="13">
        <v>4232689</v>
      </c>
      <c r="L38" s="13">
        <v>235641</v>
      </c>
      <c r="M38" s="23"/>
      <c r="N38" s="23"/>
      <c r="O38" s="23"/>
      <c r="P38" s="23"/>
      <c r="Q38" s="23"/>
      <c r="R38" s="23"/>
    </row>
    <row r="39" spans="1:18" x14ac:dyDescent="0.25">
      <c r="A39" s="5">
        <v>23</v>
      </c>
      <c r="B39" s="11" t="s">
        <v>24</v>
      </c>
      <c r="C39" s="13">
        <v>10</v>
      </c>
      <c r="D39" s="13">
        <v>569134</v>
      </c>
      <c r="E39" s="13">
        <v>569122.22499999998</v>
      </c>
      <c r="F39" s="13">
        <f t="shared" si="11"/>
        <v>11.775000000023283</v>
      </c>
      <c r="G39" s="13">
        <v>569122.22499999998</v>
      </c>
      <c r="H39" s="13">
        <f t="shared" si="7"/>
        <v>0</v>
      </c>
      <c r="I39" s="8">
        <f t="shared" si="12"/>
        <v>0.99997931067200341</v>
      </c>
      <c r="J39" s="8">
        <f t="shared" si="9"/>
        <v>0.99997931067200341</v>
      </c>
      <c r="K39" s="13">
        <v>569122</v>
      </c>
      <c r="L39" s="13">
        <v>0</v>
      </c>
      <c r="M39" s="23"/>
      <c r="N39" s="23"/>
      <c r="O39" s="23"/>
      <c r="P39" s="23"/>
      <c r="Q39" s="23"/>
      <c r="R39" s="23"/>
    </row>
    <row r="40" spans="1:18" x14ac:dyDescent="0.25">
      <c r="A40" s="5">
        <v>24</v>
      </c>
      <c r="B40" s="11" t="s">
        <v>25</v>
      </c>
      <c r="C40" s="13">
        <f>+C41+C51+C54+C65</f>
        <v>77150400</v>
      </c>
      <c r="D40" s="13">
        <f>+D41+D51+D54+D65</f>
        <v>77825373.000000015</v>
      </c>
      <c r="E40" s="13">
        <f>+E41+E51+E54+E65</f>
        <v>75254546.229999989</v>
      </c>
      <c r="F40" s="13">
        <f t="shared" si="11"/>
        <v>2570826.7700000256</v>
      </c>
      <c r="G40" s="13">
        <f>+G41+G51+G54+G65</f>
        <v>75157831.206999987</v>
      </c>
      <c r="H40" s="13">
        <f t="shared" si="7"/>
        <v>96715.023000001907</v>
      </c>
      <c r="I40" s="8">
        <f t="shared" si="12"/>
        <v>0.96696672729085376</v>
      </c>
      <c r="J40" s="8">
        <f t="shared" si="9"/>
        <v>0.96572400889103316</v>
      </c>
      <c r="K40" s="13">
        <f>+K41+K51+K54+K65</f>
        <v>63218263.070000008</v>
      </c>
      <c r="L40" s="13">
        <f>+L41+L51+L54+L65</f>
        <v>11939568.137</v>
      </c>
      <c r="M40" s="23"/>
      <c r="N40" s="23"/>
      <c r="O40" s="23"/>
      <c r="P40" s="23"/>
      <c r="Q40" s="23"/>
      <c r="R40" s="23"/>
    </row>
    <row r="41" spans="1:18" s="28" customFormat="1" x14ac:dyDescent="0.25">
      <c r="A41" s="24" t="s">
        <v>26</v>
      </c>
      <c r="B41" s="25" t="s">
        <v>27</v>
      </c>
      <c r="C41" s="26">
        <f>SUM(C42:C50)</f>
        <v>25304186</v>
      </c>
      <c r="D41" s="26">
        <f>SUM(D42:D50)</f>
        <v>25978448</v>
      </c>
      <c r="E41" s="26">
        <f>SUM(E42:E50)</f>
        <v>25978445</v>
      </c>
      <c r="F41" s="26">
        <f t="shared" si="11"/>
        <v>3</v>
      </c>
      <c r="G41" s="26">
        <f>SUM(G42:G50)</f>
        <v>25978445</v>
      </c>
      <c r="H41" s="26">
        <f t="shared" si="7"/>
        <v>0</v>
      </c>
      <c r="I41" s="27">
        <f t="shared" si="12"/>
        <v>0.99999988451966026</v>
      </c>
      <c r="J41" s="27">
        <f t="shared" si="9"/>
        <v>0.99999988451966026</v>
      </c>
      <c r="K41" s="26">
        <f>SUM(K42:K50)</f>
        <v>25978445</v>
      </c>
      <c r="L41" s="26">
        <f>SUM(L42:L50)</f>
        <v>0</v>
      </c>
      <c r="M41" s="23"/>
      <c r="N41" s="23"/>
      <c r="O41" s="23"/>
      <c r="P41" s="23"/>
      <c r="Q41" s="23"/>
      <c r="R41" s="23"/>
    </row>
    <row r="42" spans="1:18" x14ac:dyDescent="0.25">
      <c r="A42" s="16" t="s">
        <v>28</v>
      </c>
      <c r="B42" s="18" t="s">
        <v>29</v>
      </c>
      <c r="C42" s="15">
        <v>934210</v>
      </c>
      <c r="D42" s="15">
        <v>934210</v>
      </c>
      <c r="E42" s="15">
        <v>934210</v>
      </c>
      <c r="F42" s="15">
        <f t="shared" si="11"/>
        <v>0</v>
      </c>
      <c r="G42" s="15">
        <v>934210</v>
      </c>
      <c r="H42" s="15">
        <f t="shared" si="7"/>
        <v>0</v>
      </c>
      <c r="I42" s="10">
        <f t="shared" si="12"/>
        <v>1</v>
      </c>
      <c r="J42" s="10">
        <f t="shared" si="9"/>
        <v>1</v>
      </c>
      <c r="K42" s="15">
        <v>934210</v>
      </c>
      <c r="L42" s="15">
        <v>0</v>
      </c>
      <c r="M42" s="23"/>
      <c r="N42" s="23"/>
      <c r="O42" s="23"/>
      <c r="P42" s="23"/>
      <c r="Q42" s="23"/>
      <c r="R42" s="23"/>
    </row>
    <row r="43" spans="1:18" x14ac:dyDescent="0.25">
      <c r="A43" s="16" t="s">
        <v>171</v>
      </c>
      <c r="B43" s="18" t="s">
        <v>172</v>
      </c>
      <c r="C43" s="15">
        <v>4198545</v>
      </c>
      <c r="D43" s="15">
        <v>4198545</v>
      </c>
      <c r="E43" s="15">
        <v>4198545</v>
      </c>
      <c r="F43" s="15">
        <f t="shared" si="11"/>
        <v>0</v>
      </c>
      <c r="G43" s="15">
        <v>4198545</v>
      </c>
      <c r="H43" s="15">
        <f t="shared" si="7"/>
        <v>0</v>
      </c>
      <c r="I43" s="10">
        <f t="shared" si="12"/>
        <v>1</v>
      </c>
      <c r="J43" s="10">
        <f t="shared" si="9"/>
        <v>1</v>
      </c>
      <c r="K43" s="15">
        <v>4198545</v>
      </c>
      <c r="L43" s="15">
        <v>0</v>
      </c>
      <c r="M43" s="23"/>
      <c r="N43" s="23"/>
      <c r="O43" s="23"/>
      <c r="P43" s="23"/>
      <c r="Q43" s="23"/>
      <c r="R43" s="23"/>
    </row>
    <row r="44" spans="1:18" x14ac:dyDescent="0.25">
      <c r="A44" s="16" t="s">
        <v>30</v>
      </c>
      <c r="B44" s="18" t="s">
        <v>31</v>
      </c>
      <c r="C44" s="15">
        <v>3370938</v>
      </c>
      <c r="D44" s="15">
        <v>3370938</v>
      </c>
      <c r="E44" s="15">
        <v>3370938</v>
      </c>
      <c r="F44" s="15">
        <f t="shared" si="11"/>
        <v>0</v>
      </c>
      <c r="G44" s="15">
        <v>3370938</v>
      </c>
      <c r="H44" s="15">
        <f t="shared" si="7"/>
        <v>0</v>
      </c>
      <c r="I44" s="10">
        <f t="shared" si="12"/>
        <v>1</v>
      </c>
      <c r="J44" s="10">
        <f t="shared" si="9"/>
        <v>1</v>
      </c>
      <c r="K44" s="15">
        <v>3370938</v>
      </c>
      <c r="L44" s="15">
        <v>0</v>
      </c>
      <c r="M44" s="23"/>
      <c r="N44" s="23"/>
      <c r="O44" s="23"/>
      <c r="P44" s="23"/>
      <c r="Q44" s="23"/>
      <c r="R44" s="23"/>
    </row>
    <row r="45" spans="1:18" x14ac:dyDescent="0.25">
      <c r="A45" s="16" t="s">
        <v>32</v>
      </c>
      <c r="B45" s="18" t="s">
        <v>33</v>
      </c>
      <c r="C45" s="15">
        <v>3657784</v>
      </c>
      <c r="D45" s="15">
        <v>3657784</v>
      </c>
      <c r="E45" s="15">
        <v>3657784</v>
      </c>
      <c r="F45" s="15">
        <f t="shared" si="11"/>
        <v>0</v>
      </c>
      <c r="G45" s="15">
        <v>3657784</v>
      </c>
      <c r="H45" s="15">
        <f t="shared" si="7"/>
        <v>0</v>
      </c>
      <c r="I45" s="10">
        <f t="shared" si="12"/>
        <v>1</v>
      </c>
      <c r="J45" s="10">
        <f t="shared" si="9"/>
        <v>1</v>
      </c>
      <c r="K45" s="15">
        <v>3657784</v>
      </c>
      <c r="L45" s="15">
        <v>0</v>
      </c>
      <c r="M45" s="23"/>
      <c r="N45" s="23"/>
      <c r="O45" s="23"/>
      <c r="P45" s="23"/>
      <c r="Q45" s="23"/>
      <c r="R45" s="23"/>
    </row>
    <row r="46" spans="1:18" x14ac:dyDescent="0.25">
      <c r="A46" s="16" t="s">
        <v>34</v>
      </c>
      <c r="B46" s="18" t="s">
        <v>35</v>
      </c>
      <c r="C46" s="15">
        <v>2292892</v>
      </c>
      <c r="D46" s="15">
        <v>2292892</v>
      </c>
      <c r="E46" s="15">
        <v>2292892</v>
      </c>
      <c r="F46" s="15">
        <f t="shared" si="11"/>
        <v>0</v>
      </c>
      <c r="G46" s="15">
        <v>2292892</v>
      </c>
      <c r="H46" s="15">
        <f t="shared" si="7"/>
        <v>0</v>
      </c>
      <c r="I46" s="10">
        <f t="shared" si="12"/>
        <v>1</v>
      </c>
      <c r="J46" s="10">
        <f t="shared" si="9"/>
        <v>1</v>
      </c>
      <c r="K46" s="15">
        <v>2292892</v>
      </c>
      <c r="L46" s="15">
        <v>0</v>
      </c>
      <c r="M46" s="23"/>
      <c r="N46" s="23"/>
      <c r="O46" s="23"/>
      <c r="P46" s="23"/>
      <c r="Q46" s="23"/>
      <c r="R46" s="23"/>
    </row>
    <row r="47" spans="1:18" x14ac:dyDescent="0.25">
      <c r="A47" s="16" t="s">
        <v>36</v>
      </c>
      <c r="B47" s="18" t="s">
        <v>37</v>
      </c>
      <c r="C47" s="15">
        <v>3642097</v>
      </c>
      <c r="D47" s="15">
        <v>4316359</v>
      </c>
      <c r="E47" s="15">
        <v>4316359</v>
      </c>
      <c r="F47" s="15">
        <f t="shared" si="11"/>
        <v>0</v>
      </c>
      <c r="G47" s="15">
        <v>4316359</v>
      </c>
      <c r="H47" s="15">
        <f t="shared" si="7"/>
        <v>0</v>
      </c>
      <c r="I47" s="10">
        <f t="shared" si="12"/>
        <v>1</v>
      </c>
      <c r="J47" s="10">
        <f t="shared" si="9"/>
        <v>1</v>
      </c>
      <c r="K47" s="15">
        <v>4316359</v>
      </c>
      <c r="L47" s="15">
        <v>0</v>
      </c>
      <c r="M47" s="23"/>
      <c r="N47" s="23"/>
      <c r="O47" s="23"/>
      <c r="P47" s="23"/>
      <c r="Q47" s="23"/>
      <c r="R47" s="23"/>
    </row>
    <row r="48" spans="1:18" x14ac:dyDescent="0.25">
      <c r="A48" s="16" t="s">
        <v>38</v>
      </c>
      <c r="B48" s="18" t="s">
        <v>39</v>
      </c>
      <c r="C48" s="15">
        <v>4042578</v>
      </c>
      <c r="D48" s="15">
        <v>4042578</v>
      </c>
      <c r="E48" s="15">
        <v>4042578</v>
      </c>
      <c r="F48" s="15">
        <f t="shared" si="11"/>
        <v>0</v>
      </c>
      <c r="G48" s="15">
        <v>4042578</v>
      </c>
      <c r="H48" s="15">
        <f t="shared" si="7"/>
        <v>0</v>
      </c>
      <c r="I48" s="10">
        <f t="shared" si="12"/>
        <v>1</v>
      </c>
      <c r="J48" s="10">
        <f t="shared" si="9"/>
        <v>1</v>
      </c>
      <c r="K48" s="15">
        <v>4042578</v>
      </c>
      <c r="L48" s="15">
        <v>0</v>
      </c>
      <c r="M48" s="23"/>
      <c r="N48" s="23"/>
      <c r="O48" s="23"/>
      <c r="P48" s="23"/>
      <c r="Q48" s="23"/>
      <c r="R48" s="23"/>
    </row>
    <row r="49" spans="1:18" x14ac:dyDescent="0.25">
      <c r="A49" s="16" t="s">
        <v>40</v>
      </c>
      <c r="B49" s="18" t="s">
        <v>41</v>
      </c>
      <c r="C49" s="15">
        <v>1358713</v>
      </c>
      <c r="D49" s="15">
        <v>1358713</v>
      </c>
      <c r="E49" s="15">
        <v>1358713</v>
      </c>
      <c r="F49" s="15">
        <f t="shared" si="11"/>
        <v>0</v>
      </c>
      <c r="G49" s="15">
        <v>1358713</v>
      </c>
      <c r="H49" s="15">
        <f t="shared" si="7"/>
        <v>0</v>
      </c>
      <c r="I49" s="10">
        <f t="shared" si="12"/>
        <v>1</v>
      </c>
      <c r="J49" s="10">
        <f t="shared" si="9"/>
        <v>1</v>
      </c>
      <c r="K49" s="15">
        <v>1358713</v>
      </c>
      <c r="L49" s="15">
        <v>0</v>
      </c>
      <c r="M49" s="23"/>
      <c r="N49" s="23"/>
      <c r="O49" s="23"/>
      <c r="P49" s="23"/>
      <c r="Q49" s="23"/>
      <c r="R49" s="23"/>
    </row>
    <row r="50" spans="1:18" x14ac:dyDescent="0.25">
      <c r="A50" s="29" t="s">
        <v>42</v>
      </c>
      <c r="B50" s="18" t="s">
        <v>43</v>
      </c>
      <c r="C50" s="15">
        <v>1806429</v>
      </c>
      <c r="D50" s="15">
        <v>1806429</v>
      </c>
      <c r="E50" s="15">
        <v>1806426</v>
      </c>
      <c r="F50" s="15">
        <f t="shared" si="11"/>
        <v>3</v>
      </c>
      <c r="G50" s="15">
        <v>1806426</v>
      </c>
      <c r="H50" s="15">
        <f t="shared" si="7"/>
        <v>0</v>
      </c>
      <c r="I50" s="10">
        <f t="shared" si="12"/>
        <v>0.99999833926492543</v>
      </c>
      <c r="J50" s="10">
        <f t="shared" si="9"/>
        <v>0.99999833926492543</v>
      </c>
      <c r="K50" s="15">
        <v>1806426</v>
      </c>
      <c r="L50" s="15">
        <v>0</v>
      </c>
      <c r="M50" s="23"/>
      <c r="N50" s="23"/>
      <c r="O50" s="23"/>
      <c r="P50" s="23"/>
      <c r="Q50" s="23"/>
      <c r="R50" s="23"/>
    </row>
    <row r="51" spans="1:18" s="28" customFormat="1" x14ac:dyDescent="0.25">
      <c r="A51" s="24" t="s">
        <v>44</v>
      </c>
      <c r="B51" s="25" t="s">
        <v>45</v>
      </c>
      <c r="C51" s="26">
        <f>SUM(C52:C53)</f>
        <v>5733128</v>
      </c>
      <c r="D51" s="26">
        <f>SUM(D52:D53)</f>
        <v>5733128</v>
      </c>
      <c r="E51" s="26">
        <f>SUM(E52:E53)</f>
        <v>5733128</v>
      </c>
      <c r="F51" s="26">
        <f t="shared" si="11"/>
        <v>0</v>
      </c>
      <c r="G51" s="26">
        <f>SUM(G52:G53)</f>
        <v>5733128</v>
      </c>
      <c r="H51" s="26">
        <f t="shared" si="7"/>
        <v>0</v>
      </c>
      <c r="I51" s="27">
        <f t="shared" si="12"/>
        <v>1</v>
      </c>
      <c r="J51" s="27">
        <f t="shared" si="9"/>
        <v>1</v>
      </c>
      <c r="K51" s="26">
        <f>SUM(K52:K53)</f>
        <v>5733128</v>
      </c>
      <c r="L51" s="26">
        <f>SUM(L52:L53)</f>
        <v>0</v>
      </c>
      <c r="M51" s="23"/>
      <c r="N51" s="23"/>
      <c r="O51" s="23"/>
      <c r="P51" s="23"/>
      <c r="Q51" s="23"/>
      <c r="R51" s="23"/>
    </row>
    <row r="52" spans="1:18" x14ac:dyDescent="0.25">
      <c r="A52" s="16" t="s">
        <v>118</v>
      </c>
      <c r="B52" s="18" t="s">
        <v>119</v>
      </c>
      <c r="C52" s="15">
        <v>4582763</v>
      </c>
      <c r="D52" s="15">
        <v>4582763</v>
      </c>
      <c r="E52" s="15">
        <v>4582763</v>
      </c>
      <c r="F52" s="15">
        <f t="shared" si="11"/>
        <v>0</v>
      </c>
      <c r="G52" s="15">
        <v>4582763</v>
      </c>
      <c r="H52" s="15">
        <f t="shared" si="7"/>
        <v>0</v>
      </c>
      <c r="I52" s="10">
        <f t="shared" si="12"/>
        <v>1</v>
      </c>
      <c r="J52" s="10">
        <f t="shared" si="9"/>
        <v>1</v>
      </c>
      <c r="K52" s="15">
        <v>4582763</v>
      </c>
      <c r="L52" s="15">
        <v>0</v>
      </c>
      <c r="M52" s="23"/>
      <c r="N52" s="23"/>
      <c r="O52" s="23"/>
      <c r="P52" s="23"/>
      <c r="Q52" s="23"/>
      <c r="R52" s="23"/>
    </row>
    <row r="53" spans="1:18" x14ac:dyDescent="0.25">
      <c r="A53" s="16" t="s">
        <v>46</v>
      </c>
      <c r="B53" s="18" t="s">
        <v>47</v>
      </c>
      <c r="C53" s="15">
        <v>1150365</v>
      </c>
      <c r="D53" s="15">
        <v>1150365</v>
      </c>
      <c r="E53" s="15">
        <v>1150365</v>
      </c>
      <c r="F53" s="15">
        <f t="shared" si="11"/>
        <v>0</v>
      </c>
      <c r="G53" s="15">
        <v>1150365</v>
      </c>
      <c r="H53" s="15">
        <f t="shared" si="7"/>
        <v>0</v>
      </c>
      <c r="I53" s="10">
        <f t="shared" si="12"/>
        <v>1</v>
      </c>
      <c r="J53" s="10">
        <f t="shared" si="9"/>
        <v>1</v>
      </c>
      <c r="K53" s="15">
        <v>1150365</v>
      </c>
      <c r="L53" s="15">
        <v>0</v>
      </c>
      <c r="M53" s="23"/>
      <c r="N53" s="23"/>
      <c r="O53" s="23"/>
      <c r="P53" s="23"/>
      <c r="Q53" s="23"/>
      <c r="R53" s="23"/>
    </row>
    <row r="54" spans="1:18" s="28" customFormat="1" x14ac:dyDescent="0.25">
      <c r="A54" s="24" t="s">
        <v>48</v>
      </c>
      <c r="B54" s="25" t="s">
        <v>49</v>
      </c>
      <c r="C54" s="26">
        <f>SUM(C55:C64)</f>
        <v>46035370</v>
      </c>
      <c r="D54" s="26">
        <f>SUM(D55:D64)</f>
        <v>46036081.000000015</v>
      </c>
      <c r="E54" s="26">
        <f>SUM(E55:E64)</f>
        <v>43471643.229999989</v>
      </c>
      <c r="F54" s="26">
        <f t="shared" si="11"/>
        <v>2564437.7700000256</v>
      </c>
      <c r="G54" s="26">
        <f>SUM(G55:G64)</f>
        <v>43375298.206999995</v>
      </c>
      <c r="H54" s="26">
        <f t="shared" si="7"/>
        <v>96345.022999994457</v>
      </c>
      <c r="I54" s="27">
        <f t="shared" si="12"/>
        <v>0.94429504609656012</v>
      </c>
      <c r="J54" s="27">
        <f t="shared" si="9"/>
        <v>0.94220223061558994</v>
      </c>
      <c r="K54" s="26">
        <f>SUM(K55:K64)</f>
        <v>31435730.070000004</v>
      </c>
      <c r="L54" s="26">
        <f>SUM(L55:L64)</f>
        <v>11939568.137</v>
      </c>
      <c r="M54" s="23"/>
      <c r="N54" s="23"/>
      <c r="O54" s="23"/>
      <c r="P54" s="23"/>
      <c r="Q54" s="23"/>
      <c r="R54" s="23"/>
    </row>
    <row r="55" spans="1:18" x14ac:dyDescent="0.25">
      <c r="A55" s="16" t="s">
        <v>50</v>
      </c>
      <c r="B55" s="18" t="s">
        <v>51</v>
      </c>
      <c r="C55" s="15">
        <v>12460006</v>
      </c>
      <c r="D55" s="15">
        <v>14293596.000000015</v>
      </c>
      <c r="E55" s="15">
        <v>12889449.654999996</v>
      </c>
      <c r="F55" s="15">
        <f t="shared" si="11"/>
        <v>1404146.3450000193</v>
      </c>
      <c r="G55" s="15">
        <v>12886593.974999998</v>
      </c>
      <c r="H55" s="15">
        <f t="shared" si="7"/>
        <v>2855.6799999978393</v>
      </c>
      <c r="I55" s="10">
        <f t="shared" si="12"/>
        <v>0.90176395464094428</v>
      </c>
      <c r="J55" s="10">
        <f t="shared" si="9"/>
        <v>0.901564167267634</v>
      </c>
      <c r="K55" s="15">
        <v>12506029.865</v>
      </c>
      <c r="L55" s="15">
        <v>380564.11</v>
      </c>
      <c r="M55" s="23"/>
      <c r="N55" s="23"/>
      <c r="O55" s="23"/>
      <c r="P55" s="23"/>
      <c r="Q55" s="23"/>
      <c r="R55" s="23"/>
    </row>
    <row r="56" spans="1:18" ht="14.25" customHeight="1" x14ac:dyDescent="0.25">
      <c r="A56" s="16" t="s">
        <v>52</v>
      </c>
      <c r="B56" s="18" t="s">
        <v>53</v>
      </c>
      <c r="C56" s="15">
        <v>3723066</v>
      </c>
      <c r="D56" s="15">
        <v>3717580</v>
      </c>
      <c r="E56" s="15">
        <v>3597660.1910000001</v>
      </c>
      <c r="F56" s="15">
        <f t="shared" si="11"/>
        <v>119919.80899999989</v>
      </c>
      <c r="G56" s="15">
        <v>3579136.8130000005</v>
      </c>
      <c r="H56" s="15">
        <f t="shared" si="7"/>
        <v>18523.37799999956</v>
      </c>
      <c r="I56" s="68">
        <f t="shared" si="12"/>
        <v>0.96774250749143265</v>
      </c>
      <c r="J56" s="68">
        <f t="shared" si="9"/>
        <v>0.96275986340576414</v>
      </c>
      <c r="K56" s="15">
        <v>3503362.7790000001</v>
      </c>
      <c r="L56" s="15">
        <v>75774.034</v>
      </c>
      <c r="M56" s="23"/>
      <c r="N56" s="23"/>
      <c r="O56" s="23"/>
      <c r="P56" s="23"/>
      <c r="Q56" s="23"/>
      <c r="R56" s="23"/>
    </row>
    <row r="57" spans="1:18" x14ac:dyDescent="0.25">
      <c r="A57" s="16" t="s">
        <v>54</v>
      </c>
      <c r="B57" s="18" t="s">
        <v>55</v>
      </c>
      <c r="C57" s="15">
        <v>1977927</v>
      </c>
      <c r="D57" s="15">
        <v>1840305</v>
      </c>
      <c r="E57" s="15">
        <v>1812413.9890000003</v>
      </c>
      <c r="F57" s="15">
        <f t="shared" si="11"/>
        <v>27891.010999999708</v>
      </c>
      <c r="G57" s="15">
        <v>1808263.9880000001</v>
      </c>
      <c r="H57" s="15">
        <f t="shared" si="7"/>
        <v>4150.0010000001639</v>
      </c>
      <c r="I57" s="10">
        <f t="shared" si="12"/>
        <v>0.98484435406087589</v>
      </c>
      <c r="J57" s="10">
        <f t="shared" si="9"/>
        <v>0.98258929253574823</v>
      </c>
      <c r="K57" s="15">
        <v>1764504.344</v>
      </c>
      <c r="L57" s="15">
        <v>43759.644</v>
      </c>
      <c r="M57" s="23"/>
      <c r="N57" s="23"/>
      <c r="O57" s="23"/>
      <c r="P57" s="23"/>
      <c r="Q57" s="23"/>
      <c r="R57" s="23"/>
    </row>
    <row r="58" spans="1:18" x14ac:dyDescent="0.25">
      <c r="A58" s="16" t="s">
        <v>56</v>
      </c>
      <c r="B58" s="18" t="s">
        <v>180</v>
      </c>
      <c r="C58" s="15">
        <v>6909500</v>
      </c>
      <c r="D58" s="15">
        <v>6260249.9999999963</v>
      </c>
      <c r="E58" s="15">
        <v>5716595.3599999957</v>
      </c>
      <c r="F58" s="15">
        <f t="shared" si="11"/>
        <v>543654.6400000006</v>
      </c>
      <c r="G58" s="15">
        <v>5696896.6739999969</v>
      </c>
      <c r="H58" s="15">
        <f t="shared" si="7"/>
        <v>19698.685999998823</v>
      </c>
      <c r="I58" s="10">
        <f t="shared" si="12"/>
        <v>0.9131576790064293</v>
      </c>
      <c r="J58" s="10">
        <f t="shared" si="9"/>
        <v>0.91001104971846181</v>
      </c>
      <c r="K58" s="15">
        <v>4890154.665</v>
      </c>
      <c r="L58" s="15">
        <v>806742.00899999996</v>
      </c>
      <c r="M58" s="23"/>
      <c r="N58" s="23"/>
      <c r="O58" s="23"/>
      <c r="P58" s="23"/>
      <c r="Q58" s="23"/>
      <c r="R58" s="23"/>
    </row>
    <row r="59" spans="1:18" x14ac:dyDescent="0.25">
      <c r="A59" s="16" t="s">
        <v>57</v>
      </c>
      <c r="B59" s="18" t="s">
        <v>181</v>
      </c>
      <c r="C59" s="15">
        <v>3244138</v>
      </c>
      <c r="D59" s="15">
        <v>3194758.9999999995</v>
      </c>
      <c r="E59" s="15">
        <v>3106013.3779999996</v>
      </c>
      <c r="F59" s="15">
        <f t="shared" si="11"/>
        <v>88745.621999999974</v>
      </c>
      <c r="G59" s="15">
        <v>3055295.4959999993</v>
      </c>
      <c r="H59" s="15">
        <f t="shared" si="7"/>
        <v>50717.882000000216</v>
      </c>
      <c r="I59" s="10">
        <f t="shared" si="12"/>
        <v>0.97222149714579409</v>
      </c>
      <c r="J59" s="10">
        <f t="shared" si="9"/>
        <v>0.95634615819221414</v>
      </c>
      <c r="K59" s="15">
        <v>2982233.8569999998</v>
      </c>
      <c r="L59" s="15">
        <v>73061.638999999996</v>
      </c>
      <c r="M59" s="23"/>
      <c r="N59" s="23"/>
      <c r="O59" s="23"/>
      <c r="P59" s="23"/>
      <c r="Q59" s="23"/>
      <c r="R59" s="23"/>
    </row>
    <row r="60" spans="1:18" x14ac:dyDescent="0.25">
      <c r="A60" s="16" t="s">
        <v>58</v>
      </c>
      <c r="B60" s="18" t="s">
        <v>182</v>
      </c>
      <c r="C60" s="15">
        <v>12945990</v>
      </c>
      <c r="D60" s="15">
        <v>12938203</v>
      </c>
      <c r="E60" s="15">
        <v>12920435.952</v>
      </c>
      <c r="F60" s="15">
        <f t="shared" si="11"/>
        <v>17767.048000000417</v>
      </c>
      <c r="G60" s="15">
        <v>12920435.952</v>
      </c>
      <c r="H60" s="15">
        <f t="shared" si="7"/>
        <v>0</v>
      </c>
      <c r="I60" s="10">
        <f t="shared" si="12"/>
        <v>0.99862677622232388</v>
      </c>
      <c r="J60" s="10">
        <f t="shared" si="9"/>
        <v>0.99862677622232388</v>
      </c>
      <c r="K60" s="15">
        <v>2933643.55</v>
      </c>
      <c r="L60" s="15">
        <v>9986792.4020000007</v>
      </c>
      <c r="M60" s="23"/>
      <c r="N60" s="23"/>
      <c r="O60" s="23"/>
      <c r="P60" s="23"/>
      <c r="Q60" s="23"/>
      <c r="R60" s="23"/>
    </row>
    <row r="61" spans="1:18" x14ac:dyDescent="0.25">
      <c r="A61" s="16" t="s">
        <v>59</v>
      </c>
      <c r="B61" s="18" t="s">
        <v>60</v>
      </c>
      <c r="C61" s="15">
        <v>1407850</v>
      </c>
      <c r="D61" s="15">
        <v>1375117.0000000002</v>
      </c>
      <c r="E61" s="15">
        <v>1337372.9999999998</v>
      </c>
      <c r="F61" s="15">
        <f t="shared" si="11"/>
        <v>37744.000000000466</v>
      </c>
      <c r="G61" s="15">
        <v>1336973.6039999998</v>
      </c>
      <c r="H61" s="15">
        <f t="shared" ref="H61:H80" si="13">+E61-G61</f>
        <v>399.39599999994971</v>
      </c>
      <c r="I61" s="10">
        <f t="shared" si="12"/>
        <v>0.97255215374400839</v>
      </c>
      <c r="J61" s="10">
        <f t="shared" si="9"/>
        <v>0.97226170864006456</v>
      </c>
      <c r="K61" s="15">
        <v>1191089.4990000001</v>
      </c>
      <c r="L61" s="15">
        <v>145884.10500000001</v>
      </c>
      <c r="M61" s="23"/>
      <c r="N61" s="23"/>
      <c r="O61" s="23"/>
      <c r="P61" s="23"/>
      <c r="Q61" s="23"/>
      <c r="R61" s="23"/>
    </row>
    <row r="62" spans="1:18" x14ac:dyDescent="0.25">
      <c r="A62" s="29" t="s">
        <v>61</v>
      </c>
      <c r="B62" s="18" t="s">
        <v>62</v>
      </c>
      <c r="C62" s="15">
        <v>170080</v>
      </c>
      <c r="D62" s="15">
        <v>75080</v>
      </c>
      <c r="E62" s="15">
        <v>68637.474000000002</v>
      </c>
      <c r="F62" s="15">
        <f t="shared" si="11"/>
        <v>6442.525999999998</v>
      </c>
      <c r="G62" s="15">
        <v>68637.474000000002</v>
      </c>
      <c r="H62" s="15">
        <f t="shared" si="13"/>
        <v>0</v>
      </c>
      <c r="I62" s="10">
        <f t="shared" si="12"/>
        <v>0.91419118273841238</v>
      </c>
      <c r="J62" s="10">
        <f t="shared" si="9"/>
        <v>0.91419118273841238</v>
      </c>
      <c r="K62" s="15">
        <v>68637.474000000002</v>
      </c>
      <c r="L62" s="15">
        <v>0</v>
      </c>
      <c r="M62" s="23"/>
      <c r="N62" s="23"/>
      <c r="O62" s="23"/>
      <c r="P62" s="23"/>
      <c r="Q62" s="23"/>
      <c r="R62" s="23"/>
    </row>
    <row r="63" spans="1:18" x14ac:dyDescent="0.25">
      <c r="A63" s="29" t="s">
        <v>110</v>
      </c>
      <c r="B63" s="18" t="s">
        <v>113</v>
      </c>
      <c r="C63" s="17">
        <v>1946697</v>
      </c>
      <c r="D63" s="17">
        <v>1691075</v>
      </c>
      <c r="E63" s="17">
        <v>1459888.4319999996</v>
      </c>
      <c r="F63" s="152">
        <f t="shared" si="11"/>
        <v>231186.56800000044</v>
      </c>
      <c r="G63" s="17">
        <v>1459888.4319999996</v>
      </c>
      <c r="H63" s="152">
        <f t="shared" si="13"/>
        <v>0</v>
      </c>
      <c r="I63" s="153">
        <f t="shared" si="12"/>
        <v>0.86329017459308399</v>
      </c>
      <c r="J63" s="10">
        <f t="shared" si="9"/>
        <v>0.86329017459308399</v>
      </c>
      <c r="K63" s="17">
        <v>1343025.338</v>
      </c>
      <c r="L63" s="152">
        <v>116863.094</v>
      </c>
      <c r="M63" s="23"/>
      <c r="N63" s="23"/>
      <c r="O63" s="23"/>
      <c r="P63" s="23"/>
      <c r="Q63" s="23"/>
      <c r="R63" s="23"/>
    </row>
    <row r="64" spans="1:18" x14ac:dyDescent="0.25">
      <c r="A64" s="29" t="s">
        <v>183</v>
      </c>
      <c r="B64" s="18" t="s">
        <v>184</v>
      </c>
      <c r="C64" s="15">
        <v>1250116</v>
      </c>
      <c r="D64" s="15">
        <v>650116</v>
      </c>
      <c r="E64" s="15">
        <v>563175.799</v>
      </c>
      <c r="F64" s="65">
        <f t="shared" si="11"/>
        <v>86940.201000000001</v>
      </c>
      <c r="G64" s="15">
        <v>563175.799</v>
      </c>
      <c r="H64" s="65">
        <f t="shared" si="13"/>
        <v>0</v>
      </c>
      <c r="I64" s="10">
        <f t="shared" si="12"/>
        <v>0.86626971032861833</v>
      </c>
      <c r="J64" s="10">
        <f t="shared" si="9"/>
        <v>0.86626971032861833</v>
      </c>
      <c r="K64" s="15">
        <v>253048.69899999999</v>
      </c>
      <c r="L64" s="65">
        <v>310127.09999999998</v>
      </c>
      <c r="M64" s="23"/>
      <c r="N64" s="23"/>
      <c r="O64" s="23"/>
      <c r="P64" s="23"/>
      <c r="Q64" s="23"/>
      <c r="R64" s="23"/>
    </row>
    <row r="65" spans="1:18" x14ac:dyDescent="0.25">
      <c r="A65" s="24" t="s">
        <v>111</v>
      </c>
      <c r="B65" s="25" t="s">
        <v>112</v>
      </c>
      <c r="C65" s="26">
        <f>+C66</f>
        <v>77716</v>
      </c>
      <c r="D65" s="26">
        <f>+D66</f>
        <v>77716</v>
      </c>
      <c r="E65" s="26">
        <f>+E66</f>
        <v>71330</v>
      </c>
      <c r="F65" s="66">
        <f t="shared" si="11"/>
        <v>6386</v>
      </c>
      <c r="G65" s="26">
        <f>+G66</f>
        <v>70960</v>
      </c>
      <c r="H65" s="66">
        <f t="shared" si="13"/>
        <v>370</v>
      </c>
      <c r="I65" s="27">
        <f t="shared" si="12"/>
        <v>0.91782901847753362</v>
      </c>
      <c r="J65" s="27">
        <f t="shared" si="9"/>
        <v>0.91306809408615985</v>
      </c>
      <c r="K65" s="26">
        <f>+K66</f>
        <v>70960</v>
      </c>
      <c r="L65" s="26">
        <f>+L66</f>
        <v>0</v>
      </c>
      <c r="M65" s="23"/>
      <c r="N65" s="23"/>
      <c r="O65" s="23"/>
      <c r="P65" s="23"/>
      <c r="Q65" s="23"/>
      <c r="R65" s="23"/>
    </row>
    <row r="66" spans="1:18" x14ac:dyDescent="0.25">
      <c r="A66" s="29" t="s">
        <v>114</v>
      </c>
      <c r="B66" s="18" t="s">
        <v>115</v>
      </c>
      <c r="C66" s="15">
        <v>77716</v>
      </c>
      <c r="D66" s="15">
        <v>77716</v>
      </c>
      <c r="E66" s="15">
        <v>71330</v>
      </c>
      <c r="F66" s="65">
        <f t="shared" si="11"/>
        <v>6386</v>
      </c>
      <c r="G66" s="15">
        <v>70960</v>
      </c>
      <c r="H66" s="65">
        <f t="shared" si="13"/>
        <v>370</v>
      </c>
      <c r="I66" s="10">
        <f t="shared" si="12"/>
        <v>0.91782901847753362</v>
      </c>
      <c r="J66" s="10">
        <f t="shared" si="9"/>
        <v>0.91306809408615985</v>
      </c>
      <c r="K66" s="15">
        <v>70960</v>
      </c>
      <c r="L66" s="65">
        <v>0</v>
      </c>
      <c r="M66" s="23"/>
      <c r="N66" s="23"/>
      <c r="O66" s="23"/>
      <c r="P66" s="23"/>
      <c r="Q66" s="23"/>
      <c r="R66" s="23"/>
    </row>
    <row r="67" spans="1:18" x14ac:dyDescent="0.25">
      <c r="A67" s="5">
        <v>25</v>
      </c>
      <c r="B67" s="11" t="s">
        <v>63</v>
      </c>
      <c r="C67" s="7">
        <v>744</v>
      </c>
      <c r="D67" s="7">
        <v>1491542</v>
      </c>
      <c r="E67" s="7">
        <v>1399602.8149999999</v>
      </c>
      <c r="F67" s="7">
        <f t="shared" si="11"/>
        <v>91939.185000000056</v>
      </c>
      <c r="G67" s="7">
        <v>1399602.8149999999</v>
      </c>
      <c r="H67" s="7">
        <f t="shared" si="13"/>
        <v>0</v>
      </c>
      <c r="I67" s="8">
        <f t="shared" si="12"/>
        <v>0.93835964055990373</v>
      </c>
      <c r="J67" s="8">
        <f t="shared" si="9"/>
        <v>0.93835964055990373</v>
      </c>
      <c r="K67" s="7">
        <v>1149448.0519999999</v>
      </c>
      <c r="L67" s="7">
        <v>250154.76300000001</v>
      </c>
      <c r="M67" s="23"/>
      <c r="N67" s="23"/>
      <c r="O67" s="23"/>
      <c r="P67" s="23"/>
      <c r="Q67" s="23"/>
      <c r="R67" s="23"/>
    </row>
    <row r="68" spans="1:18" x14ac:dyDescent="0.25">
      <c r="A68" s="41">
        <v>29</v>
      </c>
      <c r="B68" s="12" t="s">
        <v>11</v>
      </c>
      <c r="C68" s="13">
        <f>SUM(C69:C73)</f>
        <v>988324</v>
      </c>
      <c r="D68" s="13">
        <f>SUM(D69:D73)</f>
        <v>988324</v>
      </c>
      <c r="E68" s="13">
        <f>SUM(E69:E73)</f>
        <v>878266.28499999992</v>
      </c>
      <c r="F68" s="7">
        <f t="shared" si="11"/>
        <v>110057.71500000008</v>
      </c>
      <c r="G68" s="13">
        <f>SUM(G69:G73)</f>
        <v>877396.10499999998</v>
      </c>
      <c r="H68" s="7">
        <f t="shared" si="13"/>
        <v>870.17999999993481</v>
      </c>
      <c r="I68" s="8">
        <f t="shared" si="12"/>
        <v>0.88864206980706728</v>
      </c>
      <c r="J68" s="8">
        <f t="shared" si="9"/>
        <v>0.88776160955314243</v>
      </c>
      <c r="K68" s="13">
        <f>SUM(K69:K73)</f>
        <v>860380.81799999997</v>
      </c>
      <c r="L68" s="13">
        <f>SUM(L69:L73)</f>
        <v>17015.287</v>
      </c>
      <c r="M68" s="23"/>
      <c r="N68" s="23"/>
      <c r="O68" s="23"/>
      <c r="P68" s="23"/>
      <c r="Q68" s="23"/>
      <c r="R68" s="23"/>
    </row>
    <row r="69" spans="1:18" x14ac:dyDescent="0.25">
      <c r="A69" s="42" t="s">
        <v>12</v>
      </c>
      <c r="B69" s="14" t="s">
        <v>13</v>
      </c>
      <c r="C69" s="17">
        <v>63780</v>
      </c>
      <c r="D69" s="17">
        <v>63780</v>
      </c>
      <c r="E69" s="17">
        <v>60034.902999999998</v>
      </c>
      <c r="F69" s="65">
        <f t="shared" si="11"/>
        <v>3745.0970000000016</v>
      </c>
      <c r="G69" s="17">
        <v>60034.902999999998</v>
      </c>
      <c r="H69" s="65">
        <f t="shared" si="13"/>
        <v>0</v>
      </c>
      <c r="I69" s="10">
        <f t="shared" si="12"/>
        <v>0.94128101285669485</v>
      </c>
      <c r="J69" s="10">
        <f t="shared" si="9"/>
        <v>0.94128101285669485</v>
      </c>
      <c r="K69" s="17">
        <v>60034.902999999998</v>
      </c>
      <c r="L69" s="65">
        <v>0</v>
      </c>
      <c r="M69" s="23"/>
      <c r="N69" s="23"/>
      <c r="O69" s="23"/>
      <c r="P69" s="23"/>
      <c r="Q69" s="23"/>
      <c r="R69" s="23"/>
    </row>
    <row r="70" spans="1:18" x14ac:dyDescent="0.25">
      <c r="A70" s="42" t="s">
        <v>14</v>
      </c>
      <c r="B70" s="14" t="s">
        <v>15</v>
      </c>
      <c r="C70" s="17">
        <v>95670</v>
      </c>
      <c r="D70" s="17">
        <v>95670</v>
      </c>
      <c r="E70" s="17">
        <v>50156.358999999997</v>
      </c>
      <c r="F70" s="65">
        <f t="shared" si="11"/>
        <v>45513.641000000003</v>
      </c>
      <c r="G70" s="17">
        <v>50156.358999999997</v>
      </c>
      <c r="H70" s="65">
        <f t="shared" si="13"/>
        <v>0</v>
      </c>
      <c r="I70" s="10">
        <f t="shared" si="12"/>
        <v>0.52426423121145604</v>
      </c>
      <c r="J70" s="10">
        <f t="shared" si="9"/>
        <v>0.52426423121145604</v>
      </c>
      <c r="K70" s="17">
        <v>47768.493000000002</v>
      </c>
      <c r="L70" s="65">
        <v>2387.866</v>
      </c>
      <c r="M70" s="23"/>
      <c r="N70" s="23"/>
      <c r="O70" s="23"/>
      <c r="P70" s="23"/>
      <c r="Q70" s="23"/>
      <c r="R70" s="23"/>
    </row>
    <row r="71" spans="1:18" x14ac:dyDescent="0.25">
      <c r="A71" s="16" t="s">
        <v>16</v>
      </c>
      <c r="B71" s="18" t="s">
        <v>17</v>
      </c>
      <c r="C71" s="15">
        <v>53150</v>
      </c>
      <c r="D71" s="15">
        <v>53150</v>
      </c>
      <c r="E71" s="15">
        <v>39484.343000000001</v>
      </c>
      <c r="F71" s="65">
        <f t="shared" si="11"/>
        <v>13665.656999999999</v>
      </c>
      <c r="G71" s="15">
        <v>39484.343000000001</v>
      </c>
      <c r="H71" s="65">
        <f t="shared" si="13"/>
        <v>0</v>
      </c>
      <c r="I71" s="10">
        <f t="shared" si="12"/>
        <v>0.74288509877704612</v>
      </c>
      <c r="J71" s="10">
        <f t="shared" si="9"/>
        <v>0.74288509877704612</v>
      </c>
      <c r="K71" s="15">
        <v>39484.343000000001</v>
      </c>
      <c r="L71" s="65">
        <v>0</v>
      </c>
      <c r="M71" s="23"/>
      <c r="N71" s="23"/>
      <c r="O71" s="23"/>
      <c r="P71" s="23"/>
      <c r="Q71" s="23"/>
      <c r="R71" s="23"/>
    </row>
    <row r="72" spans="1:18" x14ac:dyDescent="0.25">
      <c r="A72" s="16" t="s">
        <v>18</v>
      </c>
      <c r="B72" s="18" t="s">
        <v>19</v>
      </c>
      <c r="C72" s="15">
        <v>159450</v>
      </c>
      <c r="D72" s="15">
        <v>159450</v>
      </c>
      <c r="E72" s="15">
        <v>143939.51199999999</v>
      </c>
      <c r="F72" s="65">
        <f t="shared" si="11"/>
        <v>15510.488000000012</v>
      </c>
      <c r="G72" s="15">
        <v>143069.334</v>
      </c>
      <c r="H72" s="65">
        <f t="shared" si="13"/>
        <v>870.17799999998533</v>
      </c>
      <c r="I72" s="10">
        <f t="shared" si="12"/>
        <v>0.90272506741925362</v>
      </c>
      <c r="J72" s="10">
        <f t="shared" si="9"/>
        <v>0.8972676952022578</v>
      </c>
      <c r="K72" s="15">
        <v>130518.463</v>
      </c>
      <c r="L72" s="65">
        <v>12550.870999999999</v>
      </c>
      <c r="M72" s="23"/>
      <c r="N72" s="23"/>
      <c r="O72" s="23"/>
      <c r="P72" s="23"/>
      <c r="Q72" s="23"/>
      <c r="R72" s="23"/>
    </row>
    <row r="73" spans="1:18" x14ac:dyDescent="0.25">
      <c r="A73" s="16" t="s">
        <v>20</v>
      </c>
      <c r="B73" s="18" t="s">
        <v>21</v>
      </c>
      <c r="C73" s="15">
        <v>616274</v>
      </c>
      <c r="D73" s="15">
        <v>616274</v>
      </c>
      <c r="E73" s="15">
        <v>584651.16799999995</v>
      </c>
      <c r="F73" s="65">
        <f t="shared" si="11"/>
        <v>31622.832000000053</v>
      </c>
      <c r="G73" s="15">
        <v>584651.16599999997</v>
      </c>
      <c r="H73" s="65">
        <f t="shared" si="13"/>
        <v>1.9999999785795808E-3</v>
      </c>
      <c r="I73" s="10">
        <f t="shared" si="12"/>
        <v>0.94868705802938291</v>
      </c>
      <c r="J73" s="10">
        <f t="shared" si="9"/>
        <v>0.94868705478407322</v>
      </c>
      <c r="K73" s="15">
        <v>582574.61600000004</v>
      </c>
      <c r="L73" s="65">
        <v>2076.5500000000002</v>
      </c>
      <c r="M73" s="23"/>
      <c r="N73" s="23"/>
      <c r="O73" s="23"/>
      <c r="P73" s="23"/>
      <c r="Q73" s="23"/>
      <c r="R73" s="23"/>
    </row>
    <row r="74" spans="1:18" x14ac:dyDescent="0.25">
      <c r="A74" s="19">
        <v>31</v>
      </c>
      <c r="B74" s="12" t="s">
        <v>103</v>
      </c>
      <c r="C74" s="7">
        <f>+C75</f>
        <v>1612194</v>
      </c>
      <c r="D74" s="7">
        <f>+D75</f>
        <v>2</v>
      </c>
      <c r="E74" s="7">
        <f>+E75</f>
        <v>0</v>
      </c>
      <c r="F74" s="7">
        <f t="shared" si="11"/>
        <v>2</v>
      </c>
      <c r="G74" s="7">
        <f>+G75</f>
        <v>0</v>
      </c>
      <c r="H74" s="7">
        <f t="shared" si="13"/>
        <v>0</v>
      </c>
      <c r="I74" s="8">
        <f t="shared" si="12"/>
        <v>0</v>
      </c>
      <c r="J74" s="8">
        <f t="shared" si="9"/>
        <v>0</v>
      </c>
      <c r="K74" s="7">
        <f>+K75</f>
        <v>0</v>
      </c>
      <c r="L74" s="7">
        <f>+L75</f>
        <v>0</v>
      </c>
      <c r="M74" s="23"/>
      <c r="N74" s="23"/>
      <c r="O74" s="23"/>
      <c r="P74" s="23"/>
      <c r="Q74" s="23"/>
      <c r="R74" s="23"/>
    </row>
    <row r="75" spans="1:18" x14ac:dyDescent="0.25">
      <c r="A75" s="16" t="s">
        <v>64</v>
      </c>
      <c r="B75" s="18" t="s">
        <v>65</v>
      </c>
      <c r="C75" s="15">
        <v>1612194</v>
      </c>
      <c r="D75" s="15">
        <v>2</v>
      </c>
      <c r="E75" s="15">
        <v>0</v>
      </c>
      <c r="F75" s="65">
        <f t="shared" si="11"/>
        <v>2</v>
      </c>
      <c r="G75" s="15">
        <v>0</v>
      </c>
      <c r="H75" s="65">
        <f t="shared" si="13"/>
        <v>0</v>
      </c>
      <c r="I75" s="10">
        <f t="shared" si="12"/>
        <v>0</v>
      </c>
      <c r="J75" s="10">
        <f t="shared" si="9"/>
        <v>0</v>
      </c>
      <c r="K75" s="15">
        <v>0</v>
      </c>
      <c r="L75" s="65">
        <f>+I75-K75</f>
        <v>0</v>
      </c>
      <c r="M75" s="23"/>
      <c r="N75" s="23"/>
      <c r="O75" s="23"/>
      <c r="P75" s="23"/>
      <c r="Q75" s="23"/>
      <c r="R75" s="23"/>
    </row>
    <row r="76" spans="1:18" x14ac:dyDescent="0.25">
      <c r="A76" s="5">
        <v>33</v>
      </c>
      <c r="B76" s="11" t="s">
        <v>66</v>
      </c>
      <c r="C76" s="7">
        <f t="shared" ref="C76:E77" si="14">+C77</f>
        <v>5492735</v>
      </c>
      <c r="D76" s="7">
        <f t="shared" si="14"/>
        <v>0</v>
      </c>
      <c r="E76" s="7">
        <f t="shared" si="14"/>
        <v>0</v>
      </c>
      <c r="F76" s="7">
        <f t="shared" si="11"/>
        <v>0</v>
      </c>
      <c r="G76" s="7">
        <f>+G77</f>
        <v>0</v>
      </c>
      <c r="H76" s="7">
        <f t="shared" si="13"/>
        <v>0</v>
      </c>
      <c r="I76" s="8" t="s">
        <v>85</v>
      </c>
      <c r="J76" s="8" t="s">
        <v>85</v>
      </c>
      <c r="K76" s="7">
        <f>+K77</f>
        <v>0</v>
      </c>
      <c r="L76" s="7">
        <f>+L77</f>
        <v>0</v>
      </c>
      <c r="M76" s="23"/>
      <c r="N76" s="23"/>
      <c r="O76" s="23"/>
      <c r="P76" s="23"/>
      <c r="Q76" s="23"/>
      <c r="R76" s="23"/>
    </row>
    <row r="77" spans="1:18" s="28" customFormat="1" x14ac:dyDescent="0.25">
      <c r="A77" s="24" t="s">
        <v>67</v>
      </c>
      <c r="B77" s="25" t="s">
        <v>49</v>
      </c>
      <c r="C77" s="26">
        <f t="shared" si="14"/>
        <v>5492735</v>
      </c>
      <c r="D77" s="26">
        <f t="shared" si="14"/>
        <v>0</v>
      </c>
      <c r="E77" s="26">
        <f t="shared" si="14"/>
        <v>0</v>
      </c>
      <c r="F77" s="66">
        <f t="shared" si="11"/>
        <v>0</v>
      </c>
      <c r="G77" s="26">
        <f>+G78</f>
        <v>0</v>
      </c>
      <c r="H77" s="66">
        <f t="shared" si="13"/>
        <v>0</v>
      </c>
      <c r="I77" s="27" t="s">
        <v>85</v>
      </c>
      <c r="J77" s="27" t="s">
        <v>85</v>
      </c>
      <c r="K77" s="26">
        <f>+K78</f>
        <v>0</v>
      </c>
      <c r="L77" s="26">
        <f>+L78</f>
        <v>0</v>
      </c>
      <c r="M77" s="23"/>
      <c r="N77" s="23"/>
      <c r="O77" s="23"/>
      <c r="P77" s="23"/>
      <c r="Q77" s="23"/>
      <c r="R77" s="23"/>
    </row>
    <row r="78" spans="1:18" s="33" customFormat="1" ht="25.5" x14ac:dyDescent="0.25">
      <c r="A78" s="30" t="s">
        <v>68</v>
      </c>
      <c r="B78" s="31" t="s">
        <v>69</v>
      </c>
      <c r="C78" s="15">
        <v>5492735</v>
      </c>
      <c r="D78" s="15">
        <v>0</v>
      </c>
      <c r="E78" s="15">
        <v>0</v>
      </c>
      <c r="F78" s="65">
        <f t="shared" si="11"/>
        <v>0</v>
      </c>
      <c r="G78" s="15">
        <v>0</v>
      </c>
      <c r="H78" s="65">
        <f t="shared" si="13"/>
        <v>0</v>
      </c>
      <c r="I78" s="32" t="s">
        <v>85</v>
      </c>
      <c r="J78" s="32" t="s">
        <v>85</v>
      </c>
      <c r="K78" s="15">
        <v>0</v>
      </c>
      <c r="L78" s="65">
        <v>0</v>
      </c>
      <c r="M78" s="23"/>
      <c r="N78" s="23"/>
      <c r="O78" s="23"/>
      <c r="P78" s="23"/>
      <c r="Q78" s="23"/>
      <c r="R78" s="23"/>
    </row>
    <row r="79" spans="1:18" x14ac:dyDescent="0.25">
      <c r="A79" s="5">
        <v>34</v>
      </c>
      <c r="B79" s="11" t="s">
        <v>70</v>
      </c>
      <c r="C79" s="7">
        <f>+C80</f>
        <v>10</v>
      </c>
      <c r="D79" s="7">
        <f>+D80</f>
        <v>14805424</v>
      </c>
      <c r="E79" s="7">
        <f>+E80</f>
        <v>14796466.822000001</v>
      </c>
      <c r="F79" s="7">
        <f t="shared" si="11"/>
        <v>8957.1779999993742</v>
      </c>
      <c r="G79" s="7">
        <f>+G80</f>
        <v>14796466.822000001</v>
      </c>
      <c r="H79" s="7">
        <f t="shared" si="13"/>
        <v>0</v>
      </c>
      <c r="I79" s="8">
        <f>+E79/D79</f>
        <v>0.9993950069920321</v>
      </c>
      <c r="J79" s="8">
        <f>+G79/D79</f>
        <v>0.9993950069920321</v>
      </c>
      <c r="K79" s="7">
        <f>+K80</f>
        <v>14796466.822000001</v>
      </c>
      <c r="L79" s="7">
        <f>+L80</f>
        <v>0</v>
      </c>
      <c r="M79" s="23"/>
      <c r="N79" s="23"/>
      <c r="O79" s="23"/>
      <c r="P79" s="23"/>
      <c r="Q79" s="23"/>
      <c r="R79" s="23"/>
    </row>
    <row r="80" spans="1:18" ht="15.75" customHeight="1" x14ac:dyDescent="0.25">
      <c r="A80" s="16" t="s">
        <v>71</v>
      </c>
      <c r="B80" s="18" t="s">
        <v>72</v>
      </c>
      <c r="C80" s="15">
        <v>10</v>
      </c>
      <c r="D80" s="15">
        <v>14805424</v>
      </c>
      <c r="E80" s="15">
        <v>14796466.822000001</v>
      </c>
      <c r="F80" s="65">
        <f t="shared" si="11"/>
        <v>8957.1779999993742</v>
      </c>
      <c r="G80" s="15">
        <v>14796466.822000001</v>
      </c>
      <c r="H80" s="65">
        <f t="shared" si="13"/>
        <v>0</v>
      </c>
      <c r="I80" s="10">
        <f>+E80/D80</f>
        <v>0.9993950069920321</v>
      </c>
      <c r="J80" s="10">
        <f>+G80/D80</f>
        <v>0.9993950069920321</v>
      </c>
      <c r="K80" s="15">
        <v>14796466.822000001</v>
      </c>
      <c r="L80" s="65">
        <v>0</v>
      </c>
      <c r="M80" s="23"/>
      <c r="N80" s="23"/>
      <c r="O80" s="23"/>
      <c r="P80" s="23"/>
      <c r="Q80" s="23"/>
      <c r="R80" s="23"/>
    </row>
    <row r="81" spans="1:18" x14ac:dyDescent="0.25">
      <c r="A81" s="290" t="s">
        <v>22</v>
      </c>
      <c r="B81" s="291"/>
      <c r="C81" s="20">
        <f t="shared" ref="C81:H81" si="15">+C29+C38+C39+C40+C67+C68+C74+C76+C79</f>
        <v>117158046</v>
      </c>
      <c r="D81" s="20">
        <f t="shared" si="15"/>
        <v>124771120.00000003</v>
      </c>
      <c r="E81" s="20">
        <f t="shared" si="15"/>
        <v>121519061.57499999</v>
      </c>
      <c r="F81" s="20">
        <f t="shared" si="15"/>
        <v>3252058.4250000333</v>
      </c>
      <c r="G81" s="20">
        <f t="shared" si="15"/>
        <v>121215682.064</v>
      </c>
      <c r="H81" s="20">
        <f t="shared" si="15"/>
        <v>303379.5110000039</v>
      </c>
      <c r="I81" s="21">
        <f>+E81/D81</f>
        <v>0.97393580802192015</v>
      </c>
      <c r="J81" s="21">
        <f>+G81/D81</f>
        <v>0.97150431978169283</v>
      </c>
      <c r="K81" s="20">
        <f>+K29+K38+K39+K40+K67+K68+K74+K76+K79</f>
        <v>108239153.76200001</v>
      </c>
      <c r="L81" s="20">
        <f>+L29+L38+L39+L40+L67+L68+L74+L76+L79</f>
        <v>12976528.187000001</v>
      </c>
      <c r="M81" s="23"/>
      <c r="N81" s="23"/>
      <c r="O81" s="23"/>
      <c r="P81" s="23"/>
      <c r="Q81" s="23"/>
      <c r="R81" s="23"/>
    </row>
    <row r="82" spans="1:18" x14ac:dyDescent="0.25">
      <c r="A82" s="289"/>
      <c r="B82" s="289"/>
      <c r="C82" s="23"/>
      <c r="D82" s="23"/>
      <c r="I82" t="s">
        <v>73</v>
      </c>
    </row>
    <row r="83" spans="1:18" x14ac:dyDescent="0.25">
      <c r="A83" s="290" t="s">
        <v>322</v>
      </c>
      <c r="B83" s="291"/>
      <c r="C83" s="20">
        <f>C81-C39-C67-C79</f>
        <v>117157282</v>
      </c>
      <c r="D83" s="20">
        <f t="shared" ref="D83:H83" si="16">D81-D39-D67-D79</f>
        <v>107905020.00000003</v>
      </c>
      <c r="E83" s="20">
        <f t="shared" si="16"/>
        <v>104753869.713</v>
      </c>
      <c r="F83" s="20">
        <f t="shared" si="16"/>
        <v>3151150.287000034</v>
      </c>
      <c r="G83" s="20">
        <f t="shared" si="16"/>
        <v>104450490.20200001</v>
      </c>
      <c r="H83" s="20">
        <f t="shared" si="16"/>
        <v>303379.5110000039</v>
      </c>
      <c r="I83" s="21">
        <f>+E83/D83</f>
        <v>0.97079700011176473</v>
      </c>
      <c r="J83" s="21">
        <f>+G83/D83</f>
        <v>0.96798545797035185</v>
      </c>
      <c r="K83" s="20">
        <f>+K31+K40+K41+K42+K69+K70+K76+K78+K81</f>
        <v>198639994.44100001</v>
      </c>
      <c r="L83" s="20">
        <f>+L31+L40+L41+L42+L69+L70+L76+L78+L81</f>
        <v>24922230.431000002</v>
      </c>
      <c r="M83" s="23"/>
      <c r="N83" s="23"/>
      <c r="O83" s="23"/>
      <c r="P83" s="23"/>
      <c r="Q83" s="23"/>
      <c r="R83" s="23"/>
    </row>
    <row r="84" spans="1:18" x14ac:dyDescent="0.25">
      <c r="E84" s="23"/>
      <c r="F84" s="23"/>
      <c r="G84" s="23"/>
      <c r="K84" s="23"/>
    </row>
    <row r="85" spans="1:18" ht="25.5" x14ac:dyDescent="0.25">
      <c r="B85" s="2" t="s">
        <v>97</v>
      </c>
      <c r="C85" s="2" t="s">
        <v>321</v>
      </c>
      <c r="D85" s="64" t="s">
        <v>307</v>
      </c>
      <c r="E85" s="23"/>
      <c r="F85" s="23"/>
      <c r="G85" s="23"/>
      <c r="H85" s="23"/>
      <c r="K85" s="23"/>
      <c r="L85" s="23"/>
    </row>
    <row r="86" spans="1:18" x14ac:dyDescent="0.25">
      <c r="A86"/>
      <c r="B86" s="11" t="s">
        <v>324</v>
      </c>
      <c r="C86" s="193">
        <f>G81/C81</f>
        <v>1.0346338659830498</v>
      </c>
      <c r="D86" s="193">
        <f>G81/D81</f>
        <v>0.97150431978169283</v>
      </c>
      <c r="E86" s="23"/>
      <c r="F86" s="23"/>
      <c r="G86" s="23"/>
      <c r="H86" s="23"/>
      <c r="K86" s="23"/>
      <c r="L86" s="23"/>
    </row>
    <row r="87" spans="1:18" x14ac:dyDescent="0.25">
      <c r="B87" s="11" t="s">
        <v>323</v>
      </c>
      <c r="C87" s="193">
        <f>G83/C83</f>
        <v>0.89154074265737926</v>
      </c>
      <c r="D87" s="193">
        <f>G83/D83</f>
        <v>0.96798545797035185</v>
      </c>
    </row>
    <row r="88" spans="1:18" x14ac:dyDescent="0.25">
      <c r="C88" s="23"/>
      <c r="D88" s="23"/>
    </row>
    <row r="89" spans="1:18" x14ac:dyDescent="0.25">
      <c r="C89" s="23"/>
      <c r="D89" s="23"/>
    </row>
    <row r="90" spans="1:18" x14ac:dyDescent="0.25">
      <c r="C90" s="23"/>
      <c r="D90" s="23"/>
    </row>
    <row r="91" spans="1:18" x14ac:dyDescent="0.25">
      <c r="C91" s="23"/>
      <c r="D91" s="23"/>
    </row>
  </sheetData>
  <mergeCells count="5">
    <mergeCell ref="A2:J2"/>
    <mergeCell ref="A3:J3"/>
    <mergeCell ref="A82:B82"/>
    <mergeCell ref="A81:B81"/>
    <mergeCell ref="A83:B83"/>
  </mergeCells>
  <printOptions horizontalCentered="1"/>
  <pageMargins left="0.70866141732283472" right="0.70866141732283472" top="0.74803149606299213" bottom="0.74803149606299213" header="0.31496062992125984" footer="0.31496062992125984"/>
  <pageSetup scale="6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  <outlinePr summaryBelow="0"/>
    <pageSetUpPr fitToPage="1"/>
  </sheetPr>
  <dimension ref="A1:R49"/>
  <sheetViews>
    <sheetView showGridLines="0" zoomScale="90" zoomScaleNormal="90" workbookViewId="0">
      <selection activeCell="A2" sqref="A2:K2"/>
    </sheetView>
  </sheetViews>
  <sheetFormatPr baseColWidth="10" defaultRowHeight="15" x14ac:dyDescent="0.25"/>
  <cols>
    <col min="1" max="1" width="11.42578125" style="22"/>
    <col min="2" max="2" width="45.5703125" customWidth="1"/>
    <col min="3" max="3" width="14.85546875" hidden="1" customWidth="1"/>
    <col min="4" max="4" width="14.85546875" customWidth="1"/>
    <col min="5" max="5" width="14.7109375" customWidth="1"/>
    <col min="6" max="6" width="16.5703125" customWidth="1"/>
    <col min="7" max="7" width="14.5703125" customWidth="1"/>
    <col min="8" max="8" width="15.7109375" customWidth="1"/>
    <col min="9" max="9" width="13.42578125" customWidth="1"/>
    <col min="10" max="10" width="13.140625" customWidth="1"/>
    <col min="11" max="12" width="14" customWidth="1"/>
  </cols>
  <sheetData>
    <row r="1" spans="1:12" x14ac:dyDescent="0.25">
      <c r="G1" s="23"/>
    </row>
    <row r="2" spans="1:12" x14ac:dyDescent="0.25">
      <c r="A2" s="288" t="s">
        <v>74</v>
      </c>
      <c r="B2" s="288"/>
      <c r="C2" s="288"/>
      <c r="D2" s="288"/>
      <c r="E2" s="288"/>
      <c r="F2" s="288"/>
      <c r="G2" s="288"/>
      <c r="H2" s="288"/>
      <c r="I2" s="288"/>
      <c r="J2" s="288"/>
      <c r="K2" s="288"/>
    </row>
    <row r="3" spans="1:12" x14ac:dyDescent="0.25">
      <c r="A3" s="287" t="str">
        <f>'01-01'!A3:J3</f>
        <v>Reporte Ejecución al 31/12/2023 - Cierre (En Miles de $)</v>
      </c>
      <c r="B3" s="287"/>
      <c r="C3" s="287"/>
      <c r="D3" s="287"/>
      <c r="E3" s="287"/>
      <c r="F3" s="287"/>
      <c r="G3" s="287"/>
      <c r="H3" s="287"/>
      <c r="I3" s="287"/>
      <c r="J3" s="287"/>
      <c r="K3" s="287"/>
    </row>
    <row r="4" spans="1:12" x14ac:dyDescent="0.25">
      <c r="A4" s="92"/>
      <c r="B4" s="93"/>
      <c r="C4" s="94"/>
      <c r="D4" s="94"/>
      <c r="E4" s="94"/>
      <c r="F4" s="94"/>
      <c r="G4" s="94"/>
      <c r="H4" s="94"/>
      <c r="I4" s="95"/>
      <c r="J4" s="95"/>
    </row>
    <row r="5" spans="1:12" x14ac:dyDescent="0.25">
      <c r="A5" s="171" t="s">
        <v>270</v>
      </c>
      <c r="C5" s="23"/>
      <c r="D5" s="23"/>
      <c r="E5" s="23"/>
      <c r="F5" s="23"/>
    </row>
    <row r="6" spans="1:12" ht="25.5" x14ac:dyDescent="0.25">
      <c r="A6" s="1" t="s">
        <v>0</v>
      </c>
      <c r="B6" s="2" t="s">
        <v>1</v>
      </c>
      <c r="C6" s="2" t="s">
        <v>321</v>
      </c>
      <c r="D6" s="64" t="s">
        <v>307</v>
      </c>
      <c r="E6" s="2" t="s">
        <v>3</v>
      </c>
      <c r="F6" s="2" t="s">
        <v>4</v>
      </c>
      <c r="G6" s="2" t="s">
        <v>5</v>
      </c>
      <c r="H6" s="3" t="s">
        <v>6</v>
      </c>
      <c r="I6" s="4" t="s">
        <v>7</v>
      </c>
      <c r="J6" s="4" t="s">
        <v>185</v>
      </c>
      <c r="K6" s="3" t="s">
        <v>318</v>
      </c>
      <c r="L6" s="64" t="s">
        <v>389</v>
      </c>
    </row>
    <row r="7" spans="1:12" x14ac:dyDescent="0.25">
      <c r="A7" s="172" t="s">
        <v>271</v>
      </c>
      <c r="B7" s="173" t="s">
        <v>272</v>
      </c>
      <c r="C7" s="174">
        <f>+C8</f>
        <v>50834707.983999997</v>
      </c>
      <c r="D7" s="174">
        <f>+D8</f>
        <v>50606643.998999998</v>
      </c>
      <c r="E7" s="174">
        <f>+E8</f>
        <v>50596381.823000006</v>
      </c>
      <c r="F7" s="7">
        <f>+D7-E7</f>
        <v>10262.175999991596</v>
      </c>
      <c r="G7" s="174">
        <f>+G8</f>
        <v>50596381.823000006</v>
      </c>
      <c r="H7" s="174">
        <f>+E7-G7</f>
        <v>0</v>
      </c>
      <c r="I7" s="8">
        <f t="shared" ref="I7:I12" si="0">+E7/D7</f>
        <v>0.9997972168239373</v>
      </c>
      <c r="J7" s="8">
        <f t="shared" ref="J7:J12" si="1">+G7/D7</f>
        <v>0.9997972168239373</v>
      </c>
      <c r="K7" s="174">
        <f t="shared" ref="K7:L7" si="2">+K8</f>
        <v>50596381.822999999</v>
      </c>
      <c r="L7" s="174">
        <f t="shared" si="2"/>
        <v>0</v>
      </c>
    </row>
    <row r="8" spans="1:12" s="178" customFormat="1" x14ac:dyDescent="0.25">
      <c r="A8" s="175" t="s">
        <v>273</v>
      </c>
      <c r="B8" s="176" t="s">
        <v>274</v>
      </c>
      <c r="C8" s="177">
        <f>+C9+C10</f>
        <v>50834707.983999997</v>
      </c>
      <c r="D8" s="177">
        <f>+D9+D10</f>
        <v>50606643.998999998</v>
      </c>
      <c r="E8" s="177">
        <f>+E9+E10</f>
        <v>50596381.823000006</v>
      </c>
      <c r="F8" s="66">
        <f>+D8-E8</f>
        <v>10262.175999991596</v>
      </c>
      <c r="G8" s="177">
        <f>+G9+G10</f>
        <v>50596381.823000006</v>
      </c>
      <c r="H8" s="177">
        <f>+E8-G8</f>
        <v>0</v>
      </c>
      <c r="I8" s="27">
        <f t="shared" si="0"/>
        <v>0.9997972168239373</v>
      </c>
      <c r="J8" s="27">
        <f t="shared" si="1"/>
        <v>0.9997972168239373</v>
      </c>
      <c r="K8" s="177">
        <f t="shared" ref="K8:L8" si="3">+K9+K10</f>
        <v>50596381.822999999</v>
      </c>
      <c r="L8" s="177">
        <f t="shared" si="3"/>
        <v>0</v>
      </c>
    </row>
    <row r="9" spans="1:12" x14ac:dyDescent="0.25">
      <c r="A9" s="30" t="s">
        <v>275</v>
      </c>
      <c r="B9" s="179" t="s">
        <v>276</v>
      </c>
      <c r="C9" s="9">
        <v>3889773</v>
      </c>
      <c r="D9" s="9">
        <v>4132652</v>
      </c>
      <c r="E9" s="9">
        <v>4132652</v>
      </c>
      <c r="F9" s="65">
        <f>+D9-E9</f>
        <v>0</v>
      </c>
      <c r="G9" s="9">
        <v>4132652</v>
      </c>
      <c r="H9" s="9">
        <f>+E9-G9</f>
        <v>0</v>
      </c>
      <c r="I9" s="10">
        <f t="shared" si="0"/>
        <v>1</v>
      </c>
      <c r="J9" s="10">
        <f t="shared" si="1"/>
        <v>1</v>
      </c>
      <c r="K9" s="9">
        <v>4132652</v>
      </c>
      <c r="L9" s="9">
        <v>0</v>
      </c>
    </row>
    <row r="10" spans="1:12" x14ac:dyDescent="0.25">
      <c r="A10" s="30" t="s">
        <v>277</v>
      </c>
      <c r="B10" s="179" t="s">
        <v>278</v>
      </c>
      <c r="C10" s="9">
        <v>46944934.983999997</v>
      </c>
      <c r="D10" s="9">
        <v>46473991.998999998</v>
      </c>
      <c r="E10" s="9">
        <v>46463729.823000006</v>
      </c>
      <c r="F10" s="65">
        <f>+D10-E10</f>
        <v>10262.175999991596</v>
      </c>
      <c r="G10" s="9">
        <v>46463729.823000006</v>
      </c>
      <c r="H10" s="9">
        <f>+E10-G10</f>
        <v>0</v>
      </c>
      <c r="I10" s="10">
        <f t="shared" si="0"/>
        <v>0.99977918453830661</v>
      </c>
      <c r="J10" s="10">
        <f t="shared" si="1"/>
        <v>0.99977918453830661</v>
      </c>
      <c r="K10" s="9">
        <v>46463729.822999999</v>
      </c>
      <c r="L10" s="9">
        <v>0</v>
      </c>
    </row>
    <row r="11" spans="1:12" x14ac:dyDescent="0.25">
      <c r="A11" s="180" t="s">
        <v>279</v>
      </c>
      <c r="B11" s="181" t="s">
        <v>280</v>
      </c>
      <c r="C11" s="174">
        <v>10</v>
      </c>
      <c r="D11" s="174">
        <v>2790159</v>
      </c>
      <c r="E11" s="174">
        <v>0</v>
      </c>
      <c r="F11" s="13">
        <f>+D11-E11</f>
        <v>2790159</v>
      </c>
      <c r="G11" s="174">
        <v>0</v>
      </c>
      <c r="H11" s="174">
        <f>+E11-G11</f>
        <v>0</v>
      </c>
      <c r="I11" s="8">
        <f t="shared" si="0"/>
        <v>0</v>
      </c>
      <c r="J11" s="8">
        <f t="shared" si="1"/>
        <v>0</v>
      </c>
      <c r="K11" s="174">
        <v>0</v>
      </c>
      <c r="L11" s="174">
        <v>0</v>
      </c>
    </row>
    <row r="12" spans="1:12" x14ac:dyDescent="0.25">
      <c r="A12" s="91"/>
      <c r="B12" s="182" t="s">
        <v>22</v>
      </c>
      <c r="C12" s="183">
        <f t="shared" ref="C12:H12" si="4">+C7+C11</f>
        <v>50834717.983999997</v>
      </c>
      <c r="D12" s="183">
        <f t="shared" si="4"/>
        <v>53396802.998999998</v>
      </c>
      <c r="E12" s="183">
        <f t="shared" si="4"/>
        <v>50596381.823000006</v>
      </c>
      <c r="F12" s="183">
        <f t="shared" si="4"/>
        <v>2800421.1759999916</v>
      </c>
      <c r="G12" s="183">
        <f t="shared" si="4"/>
        <v>50596381.823000006</v>
      </c>
      <c r="H12" s="183">
        <f t="shared" si="4"/>
        <v>0</v>
      </c>
      <c r="I12" s="21">
        <f t="shared" si="0"/>
        <v>0.94755451602500551</v>
      </c>
      <c r="J12" s="21">
        <f t="shared" si="1"/>
        <v>0.94755451602500551</v>
      </c>
      <c r="K12" s="183">
        <f t="shared" ref="K12:L12" si="5">+K7+K11</f>
        <v>50596381.822999999</v>
      </c>
      <c r="L12" s="183">
        <f t="shared" si="5"/>
        <v>0</v>
      </c>
    </row>
    <row r="13" spans="1:12" x14ac:dyDescent="0.25">
      <c r="A13" s="92"/>
      <c r="B13" s="93"/>
      <c r="C13" s="94"/>
      <c r="D13" s="94"/>
      <c r="E13" s="94"/>
      <c r="F13" s="94"/>
      <c r="G13" s="94"/>
      <c r="H13" s="94"/>
      <c r="I13" s="95"/>
      <c r="J13" s="95"/>
    </row>
    <row r="14" spans="1:12" x14ac:dyDescent="0.25">
      <c r="A14" s="92"/>
      <c r="B14" s="93"/>
      <c r="C14" s="94"/>
      <c r="D14" s="94"/>
      <c r="E14" s="94"/>
      <c r="F14" s="94"/>
      <c r="G14" s="94"/>
      <c r="H14" s="94"/>
      <c r="I14" s="95"/>
      <c r="J14" s="95"/>
    </row>
    <row r="15" spans="1:12" x14ac:dyDescent="0.25">
      <c r="A15" s="171" t="s">
        <v>305</v>
      </c>
      <c r="B15" s="93"/>
      <c r="C15" s="94"/>
      <c r="D15" s="94"/>
      <c r="E15" s="94"/>
      <c r="F15" s="94"/>
      <c r="G15" s="94"/>
      <c r="H15" s="94"/>
      <c r="I15" s="95"/>
      <c r="J15" s="95"/>
    </row>
    <row r="16" spans="1:12" ht="25.5" x14ac:dyDescent="0.25">
      <c r="A16" s="1" t="s">
        <v>0</v>
      </c>
      <c r="B16" s="2" t="s">
        <v>1</v>
      </c>
      <c r="C16" s="2" t="s">
        <v>321</v>
      </c>
      <c r="D16" s="64" t="s">
        <v>307</v>
      </c>
      <c r="E16" s="2" t="s">
        <v>3</v>
      </c>
      <c r="F16" s="2" t="s">
        <v>4</v>
      </c>
      <c r="G16" s="2" t="s">
        <v>5</v>
      </c>
      <c r="H16" s="3" t="s">
        <v>6</v>
      </c>
      <c r="I16" s="4" t="s">
        <v>7</v>
      </c>
      <c r="J16" s="4" t="s">
        <v>185</v>
      </c>
      <c r="K16" s="3" t="s">
        <v>318</v>
      </c>
      <c r="L16" s="64" t="s">
        <v>319</v>
      </c>
    </row>
    <row r="17" spans="1:12" x14ac:dyDescent="0.25">
      <c r="A17" s="5">
        <v>21</v>
      </c>
      <c r="B17" s="6" t="s">
        <v>9</v>
      </c>
      <c r="C17" s="35">
        <v>3889773</v>
      </c>
      <c r="D17" s="35">
        <v>4137273.9999999995</v>
      </c>
      <c r="E17" s="35">
        <v>3792849.4850000008</v>
      </c>
      <c r="F17" s="35">
        <f>+D17-E17</f>
        <v>344424.51499999873</v>
      </c>
      <c r="G17" s="35">
        <v>3771981.7020000019</v>
      </c>
      <c r="H17" s="35">
        <f t="shared" ref="H17:H36" si="6">+E17-G17</f>
        <v>20867.78299999889</v>
      </c>
      <c r="I17" s="8">
        <f t="shared" ref="I17:I24" si="7">+E17/D17</f>
        <v>0.91675085696523873</v>
      </c>
      <c r="J17" s="8">
        <f t="shared" ref="J17:J37" si="8">+G17/D17</f>
        <v>0.91170700852783793</v>
      </c>
      <c r="K17" s="35">
        <v>3699140.6409999998</v>
      </c>
      <c r="L17" s="35">
        <v>72841.061000000002</v>
      </c>
    </row>
    <row r="18" spans="1:12" x14ac:dyDescent="0.25">
      <c r="A18" s="5"/>
      <c r="B18" s="189" t="s">
        <v>308</v>
      </c>
      <c r="C18" s="36">
        <f>2359500-100000</f>
        <v>2259500</v>
      </c>
      <c r="D18" s="36">
        <f>D17-SUM(D19:D24)</f>
        <v>2511753.9999999995</v>
      </c>
      <c r="E18" s="36">
        <f t="shared" ref="E18" si="9">E17-SUM(E19:E24)</f>
        <v>2296033.0000000009</v>
      </c>
      <c r="F18" s="36">
        <f t="shared" ref="F18:F24" si="10">+D18-E18</f>
        <v>215720.9999999986</v>
      </c>
      <c r="G18" s="36">
        <f>G17-SUM(G19:G24)</f>
        <v>2277165.217000002</v>
      </c>
      <c r="H18" s="36">
        <f t="shared" si="6"/>
        <v>18867.78299999889</v>
      </c>
      <c r="I18" s="10">
        <f t="shared" si="7"/>
        <v>0.91411539505859307</v>
      </c>
      <c r="J18" s="10">
        <f t="shared" si="8"/>
        <v>0.90660359931745005</v>
      </c>
      <c r="K18" s="36">
        <f t="shared" ref="K18:L18" si="11">K17-SUM(K19:K24)</f>
        <v>2230272.5889999997</v>
      </c>
      <c r="L18" s="36">
        <f t="shared" si="11"/>
        <v>46892.627999999997</v>
      </c>
    </row>
    <row r="19" spans="1:12" x14ac:dyDescent="0.25">
      <c r="A19" s="5"/>
      <c r="B19" s="189" t="s">
        <v>310</v>
      </c>
      <c r="C19" s="36">
        <v>4407</v>
      </c>
      <c r="D19" s="36">
        <v>4407</v>
      </c>
      <c r="E19" s="36">
        <v>2000</v>
      </c>
      <c r="F19" s="36">
        <f t="shared" si="10"/>
        <v>2407</v>
      </c>
      <c r="G19" s="36">
        <v>0</v>
      </c>
      <c r="H19" s="36">
        <f t="shared" si="6"/>
        <v>2000</v>
      </c>
      <c r="I19" s="10">
        <f t="shared" si="7"/>
        <v>0.45382346267302021</v>
      </c>
      <c r="J19" s="10">
        <f t="shared" si="8"/>
        <v>0</v>
      </c>
      <c r="K19" s="36">
        <v>0</v>
      </c>
      <c r="L19" s="36">
        <v>0</v>
      </c>
    </row>
    <row r="20" spans="1:12" x14ac:dyDescent="0.25">
      <c r="A20" s="5"/>
      <c r="B20" s="189" t="s">
        <v>311</v>
      </c>
      <c r="C20" s="36">
        <v>31144</v>
      </c>
      <c r="D20" s="36">
        <v>31143.999999999996</v>
      </c>
      <c r="E20" s="36">
        <v>9533.9120000000003</v>
      </c>
      <c r="F20" s="36">
        <f t="shared" si="10"/>
        <v>21610.087999999996</v>
      </c>
      <c r="G20" s="36">
        <v>9533.9120000000003</v>
      </c>
      <c r="H20" s="36">
        <f t="shared" si="6"/>
        <v>0</v>
      </c>
      <c r="I20" s="10">
        <f t="shared" si="7"/>
        <v>0.30612355509889549</v>
      </c>
      <c r="J20" s="10">
        <f t="shared" si="8"/>
        <v>0.30612355509889549</v>
      </c>
      <c r="K20" s="36">
        <v>7891.7249999999995</v>
      </c>
      <c r="L20" s="36">
        <v>1642.1869999999999</v>
      </c>
    </row>
    <row r="21" spans="1:12" x14ac:dyDescent="0.25">
      <c r="A21" s="5"/>
      <c r="B21" s="189" t="s">
        <v>312</v>
      </c>
      <c r="C21" s="36">
        <v>6522</v>
      </c>
      <c r="D21" s="36">
        <v>6522</v>
      </c>
      <c r="E21" s="36">
        <v>5907.4059999999999</v>
      </c>
      <c r="F21" s="36">
        <f t="shared" si="10"/>
        <v>614.59400000000005</v>
      </c>
      <c r="G21" s="36">
        <v>5907.4059999999999</v>
      </c>
      <c r="H21" s="36">
        <f t="shared" si="6"/>
        <v>0</v>
      </c>
      <c r="I21" s="10">
        <f t="shared" si="7"/>
        <v>0.90576602269242568</v>
      </c>
      <c r="J21" s="10">
        <f t="shared" si="8"/>
        <v>0.90576602269242568</v>
      </c>
      <c r="K21" s="36">
        <v>5907.4059999999999</v>
      </c>
      <c r="L21" s="36">
        <v>0</v>
      </c>
    </row>
    <row r="22" spans="1:12" x14ac:dyDescent="0.25">
      <c r="A22" s="5"/>
      <c r="B22" s="189" t="s">
        <v>313</v>
      </c>
      <c r="C22" s="36">
        <v>1488200</v>
      </c>
      <c r="D22" s="36">
        <v>1483447</v>
      </c>
      <c r="E22" s="36">
        <v>1395155.942</v>
      </c>
      <c r="F22" s="36">
        <f t="shared" si="10"/>
        <v>88291.057999999961</v>
      </c>
      <c r="G22" s="36">
        <v>1395155.942</v>
      </c>
      <c r="H22" s="36">
        <f t="shared" si="6"/>
        <v>0</v>
      </c>
      <c r="I22" s="10">
        <f t="shared" si="7"/>
        <v>0.94048249920624061</v>
      </c>
      <c r="J22" s="10">
        <f t="shared" si="8"/>
        <v>0.94048249920624061</v>
      </c>
      <c r="K22" s="36">
        <v>1371312.5379999999</v>
      </c>
      <c r="L22" s="36">
        <v>23843.403999999999</v>
      </c>
    </row>
    <row r="23" spans="1:12" x14ac:dyDescent="0.25">
      <c r="A23" s="5"/>
      <c r="B23" s="189" t="s">
        <v>314</v>
      </c>
      <c r="C23" s="36">
        <v>10000</v>
      </c>
      <c r="D23" s="36">
        <v>10000</v>
      </c>
      <c r="E23" s="36">
        <v>2791.5250000000001</v>
      </c>
      <c r="F23" s="36">
        <f t="shared" si="10"/>
        <v>7208.4750000000004</v>
      </c>
      <c r="G23" s="36">
        <v>2791.5250000000001</v>
      </c>
      <c r="H23" s="36">
        <f t="shared" si="6"/>
        <v>0</v>
      </c>
      <c r="I23" s="10">
        <f t="shared" si="7"/>
        <v>0.27915250000000003</v>
      </c>
      <c r="J23" s="10">
        <f t="shared" si="8"/>
        <v>0.27915250000000003</v>
      </c>
      <c r="K23" s="36">
        <v>2328.683</v>
      </c>
      <c r="L23" s="36">
        <v>462.84199999999998</v>
      </c>
    </row>
    <row r="24" spans="1:12" x14ac:dyDescent="0.25">
      <c r="A24" s="5"/>
      <c r="B24" s="189" t="s">
        <v>317</v>
      </c>
      <c r="C24" s="36">
        <v>90000</v>
      </c>
      <c r="D24" s="36">
        <v>90000</v>
      </c>
      <c r="E24" s="36">
        <v>81427.7</v>
      </c>
      <c r="F24" s="36">
        <f t="shared" si="10"/>
        <v>8572.3000000000029</v>
      </c>
      <c r="G24" s="36">
        <v>81427.7</v>
      </c>
      <c r="H24" s="36">
        <f t="shared" si="6"/>
        <v>0</v>
      </c>
      <c r="I24" s="10">
        <f t="shared" si="7"/>
        <v>0.90475222222222218</v>
      </c>
      <c r="J24" s="10">
        <f t="shared" si="8"/>
        <v>0.90475222222222218</v>
      </c>
      <c r="K24" s="36">
        <v>81427.7</v>
      </c>
      <c r="L24" s="36">
        <v>0</v>
      </c>
    </row>
    <row r="25" spans="1:12" x14ac:dyDescent="0.25">
      <c r="A25" s="5">
        <v>22</v>
      </c>
      <c r="B25" s="6" t="s">
        <v>10</v>
      </c>
      <c r="C25" s="35">
        <v>298308</v>
      </c>
      <c r="D25" s="35">
        <v>199047</v>
      </c>
      <c r="E25" s="35">
        <v>150411.01599999997</v>
      </c>
      <c r="F25" s="35">
        <f t="shared" ref="F25:F36" si="12">+D25-E25</f>
        <v>48635.984000000026</v>
      </c>
      <c r="G25" s="35">
        <v>150411.01599999997</v>
      </c>
      <c r="H25" s="35">
        <f t="shared" si="6"/>
        <v>0</v>
      </c>
      <c r="I25" s="8">
        <f t="shared" ref="I25:I37" si="13">+E25/D25</f>
        <v>0.75565577979070253</v>
      </c>
      <c r="J25" s="8">
        <f t="shared" si="8"/>
        <v>0.75565577979070253</v>
      </c>
      <c r="K25" s="35">
        <v>131239.49</v>
      </c>
      <c r="L25" s="35">
        <v>19171.526000000002</v>
      </c>
    </row>
    <row r="26" spans="1:12" x14ac:dyDescent="0.25">
      <c r="A26" s="5">
        <v>24</v>
      </c>
      <c r="B26" s="6" t="s">
        <v>25</v>
      </c>
      <c r="C26" s="35">
        <f>+C27+C33</f>
        <v>46646627</v>
      </c>
      <c r="D26" s="35">
        <f>+D27+D33</f>
        <v>46495005</v>
      </c>
      <c r="E26" s="35">
        <f>+E27+E33</f>
        <v>45623728.883000009</v>
      </c>
      <c r="F26" s="35">
        <f t="shared" si="12"/>
        <v>871276.11699999124</v>
      </c>
      <c r="G26" s="35">
        <f>+G27+G33</f>
        <v>45615663.862999998</v>
      </c>
      <c r="H26" s="35">
        <f t="shared" si="6"/>
        <v>8065.0200000107288</v>
      </c>
      <c r="I26" s="8">
        <f t="shared" si="13"/>
        <v>0.9812608662586445</v>
      </c>
      <c r="J26" s="8">
        <f t="shared" si="8"/>
        <v>0.98108740633536862</v>
      </c>
      <c r="K26" s="35">
        <f t="shared" ref="K26:L26" si="14">+K27+K33</f>
        <v>43911803.115999997</v>
      </c>
      <c r="L26" s="35">
        <f t="shared" si="14"/>
        <v>1703860.747</v>
      </c>
    </row>
    <row r="27" spans="1:12" x14ac:dyDescent="0.25">
      <c r="A27" s="24" t="s">
        <v>48</v>
      </c>
      <c r="B27" s="37" t="s">
        <v>49</v>
      </c>
      <c r="C27" s="38">
        <f>SUM(C28:C32)</f>
        <v>46103966</v>
      </c>
      <c r="D27" s="38">
        <f>SUM(D28:D32)</f>
        <v>45966344</v>
      </c>
      <c r="E27" s="38">
        <f>SUM(E28:E32)</f>
        <v>45134733.761000007</v>
      </c>
      <c r="F27" s="38">
        <f t="shared" si="12"/>
        <v>831610.23899999261</v>
      </c>
      <c r="G27" s="38">
        <f>SUM(G28:G32)</f>
        <v>45126668.740999997</v>
      </c>
      <c r="H27" s="38">
        <f t="shared" si="6"/>
        <v>8065.0200000107288</v>
      </c>
      <c r="I27" s="27">
        <f t="shared" si="13"/>
        <v>0.98190827969698891</v>
      </c>
      <c r="J27" s="27">
        <f t="shared" si="8"/>
        <v>0.98173282480329516</v>
      </c>
      <c r="K27" s="38">
        <f t="shared" ref="K27:L27" si="15">SUM(K28:K32)</f>
        <v>43422807.993999995</v>
      </c>
      <c r="L27" s="38">
        <f t="shared" si="15"/>
        <v>1703860.747</v>
      </c>
    </row>
    <row r="28" spans="1:12" x14ac:dyDescent="0.25">
      <c r="A28" s="16" t="s">
        <v>75</v>
      </c>
      <c r="B28" s="29" t="s">
        <v>76</v>
      </c>
      <c r="C28" s="36">
        <v>8345381</v>
      </c>
      <c r="D28" s="36">
        <v>8340759</v>
      </c>
      <c r="E28" s="36">
        <v>8115913.745000002</v>
      </c>
      <c r="F28" s="36">
        <f t="shared" si="12"/>
        <v>224845.25499999803</v>
      </c>
      <c r="G28" s="36">
        <v>8111445.6570000015</v>
      </c>
      <c r="H28" s="36">
        <f t="shared" si="6"/>
        <v>4468.0880000004545</v>
      </c>
      <c r="I28" s="10">
        <f t="shared" si="13"/>
        <v>0.97304259060836096</v>
      </c>
      <c r="J28" s="10">
        <f t="shared" si="8"/>
        <v>0.97250689739387042</v>
      </c>
      <c r="K28" s="36">
        <v>7730795.6349999998</v>
      </c>
      <c r="L28" s="36">
        <v>380650.022</v>
      </c>
    </row>
    <row r="29" spans="1:12" x14ac:dyDescent="0.25">
      <c r="A29" s="16" t="s">
        <v>77</v>
      </c>
      <c r="B29" s="29" t="s">
        <v>78</v>
      </c>
      <c r="C29" s="36">
        <v>13897284</v>
      </c>
      <c r="D29" s="36">
        <v>13764284</v>
      </c>
      <c r="E29" s="36">
        <v>13686986.730999999</v>
      </c>
      <c r="F29" s="36">
        <f t="shared" si="12"/>
        <v>77297.269000001252</v>
      </c>
      <c r="G29" s="36">
        <v>13685937.798999999</v>
      </c>
      <c r="H29" s="36">
        <f t="shared" si="6"/>
        <v>1048.9320000000298</v>
      </c>
      <c r="I29" s="10">
        <f t="shared" si="13"/>
        <v>0.99438421431873958</v>
      </c>
      <c r="J29" s="10">
        <f t="shared" si="8"/>
        <v>0.9943080075214954</v>
      </c>
      <c r="K29" s="36">
        <v>13606980.283</v>
      </c>
      <c r="L29" s="36">
        <v>78957.516000000003</v>
      </c>
    </row>
    <row r="30" spans="1:12" x14ac:dyDescent="0.25">
      <c r="A30" s="16" t="s">
        <v>79</v>
      </c>
      <c r="B30" s="29" t="s">
        <v>80</v>
      </c>
      <c r="C30" s="36">
        <v>6182993</v>
      </c>
      <c r="D30" s="36">
        <v>6182992.9999999981</v>
      </c>
      <c r="E30" s="36">
        <v>6101640.4410000015</v>
      </c>
      <c r="F30" s="36">
        <f t="shared" si="12"/>
        <v>81352.558999996632</v>
      </c>
      <c r="G30" s="36">
        <v>6101640.4410000015</v>
      </c>
      <c r="H30" s="36">
        <f t="shared" si="6"/>
        <v>0</v>
      </c>
      <c r="I30" s="10">
        <f t="shared" si="13"/>
        <v>0.9868425277207985</v>
      </c>
      <c r="J30" s="10">
        <f t="shared" si="8"/>
        <v>0.9868425277207985</v>
      </c>
      <c r="K30" s="36">
        <v>6036437.5489999996</v>
      </c>
      <c r="L30" s="36">
        <v>65202.892</v>
      </c>
    </row>
    <row r="31" spans="1:12" x14ac:dyDescent="0.25">
      <c r="A31" s="16" t="s">
        <v>81</v>
      </c>
      <c r="B31" s="29" t="s">
        <v>82</v>
      </c>
      <c r="C31" s="36">
        <v>12343443</v>
      </c>
      <c r="D31" s="36">
        <v>12343443</v>
      </c>
      <c r="E31" s="36">
        <v>12152857.197000001</v>
      </c>
      <c r="F31" s="36">
        <f t="shared" si="12"/>
        <v>190585.80299999937</v>
      </c>
      <c r="G31" s="36">
        <v>12150309.197000001</v>
      </c>
      <c r="H31" s="36">
        <f t="shared" si="6"/>
        <v>2548</v>
      </c>
      <c r="I31" s="10">
        <f t="shared" si="13"/>
        <v>0.98455975346586855</v>
      </c>
      <c r="J31" s="10">
        <f t="shared" si="8"/>
        <v>0.98435332807872167</v>
      </c>
      <c r="K31" s="36">
        <v>11035661.393999999</v>
      </c>
      <c r="L31" s="36">
        <v>1114647.8030000001</v>
      </c>
    </row>
    <row r="32" spans="1:12" x14ac:dyDescent="0.25">
      <c r="A32" s="16" t="s">
        <v>116</v>
      </c>
      <c r="B32" s="29" t="s">
        <v>117</v>
      </c>
      <c r="C32" s="36">
        <v>5334865</v>
      </c>
      <c r="D32" s="36">
        <v>5334865.0000000009</v>
      </c>
      <c r="E32" s="36">
        <v>5077335.6470000008</v>
      </c>
      <c r="F32" s="36">
        <f t="shared" si="12"/>
        <v>257529.35300000012</v>
      </c>
      <c r="G32" s="36">
        <v>5077335.6470000008</v>
      </c>
      <c r="H32" s="36">
        <f t="shared" si="6"/>
        <v>0</v>
      </c>
      <c r="I32" s="10">
        <f t="shared" si="13"/>
        <v>0.95172710968318786</v>
      </c>
      <c r="J32" s="10">
        <f t="shared" si="8"/>
        <v>0.95172710968318786</v>
      </c>
      <c r="K32" s="36">
        <v>5012933.1330000004</v>
      </c>
      <c r="L32" s="36">
        <v>64402.514000000003</v>
      </c>
    </row>
    <row r="33" spans="1:18" x14ac:dyDescent="0.25">
      <c r="A33" s="24" t="s">
        <v>111</v>
      </c>
      <c r="B33" s="37" t="s">
        <v>112</v>
      </c>
      <c r="C33" s="38">
        <f>+C34</f>
        <v>542661</v>
      </c>
      <c r="D33" s="38">
        <f>+D34</f>
        <v>528661</v>
      </c>
      <c r="E33" s="38">
        <f>+E34</f>
        <v>488995.12199999997</v>
      </c>
      <c r="F33" s="38">
        <f t="shared" si="12"/>
        <v>39665.878000000026</v>
      </c>
      <c r="G33" s="38">
        <f>+G34</f>
        <v>488995.12199999997</v>
      </c>
      <c r="H33" s="38">
        <f t="shared" si="6"/>
        <v>0</v>
      </c>
      <c r="I33" s="27">
        <f t="shared" si="13"/>
        <v>0.92496916171232602</v>
      </c>
      <c r="J33" s="27">
        <f t="shared" si="8"/>
        <v>0.92496916171232602</v>
      </c>
      <c r="K33" s="38">
        <f t="shared" ref="K33:L33" si="16">+K34</f>
        <v>488995.12199999997</v>
      </c>
      <c r="L33" s="38">
        <f t="shared" si="16"/>
        <v>0</v>
      </c>
    </row>
    <row r="34" spans="1:18" x14ac:dyDescent="0.25">
      <c r="A34" s="16" t="s">
        <v>114</v>
      </c>
      <c r="B34" s="29" t="s">
        <v>115</v>
      </c>
      <c r="C34" s="36">
        <v>542661</v>
      </c>
      <c r="D34" s="36">
        <v>528661</v>
      </c>
      <c r="E34" s="36">
        <v>488995.12199999997</v>
      </c>
      <c r="F34" s="36">
        <f t="shared" si="12"/>
        <v>39665.878000000026</v>
      </c>
      <c r="G34" s="36">
        <v>488995.12199999997</v>
      </c>
      <c r="H34" s="36">
        <f t="shared" si="6"/>
        <v>0</v>
      </c>
      <c r="I34" s="10">
        <f t="shared" si="13"/>
        <v>0.92496916171232602</v>
      </c>
      <c r="J34" s="10">
        <f t="shared" si="8"/>
        <v>0.92496916171232602</v>
      </c>
      <c r="K34" s="36">
        <v>488995.12199999997</v>
      </c>
      <c r="L34" s="36">
        <v>0</v>
      </c>
    </row>
    <row r="35" spans="1:18" x14ac:dyDescent="0.25">
      <c r="A35" s="5">
        <v>34</v>
      </c>
      <c r="B35" s="6" t="s">
        <v>70</v>
      </c>
      <c r="C35" s="35">
        <f>+C36</f>
        <v>10</v>
      </c>
      <c r="D35" s="35">
        <f>+D36</f>
        <v>2565477</v>
      </c>
      <c r="E35" s="35">
        <f>+E36</f>
        <v>2565475.1529999999</v>
      </c>
      <c r="F35" s="35">
        <f t="shared" si="12"/>
        <v>1.8470000000670552</v>
      </c>
      <c r="G35" s="35">
        <f>+G36</f>
        <v>2565475.1529999999</v>
      </c>
      <c r="H35" s="35">
        <f t="shared" si="6"/>
        <v>0</v>
      </c>
      <c r="I35" s="8">
        <f t="shared" si="13"/>
        <v>0.99999928005591165</v>
      </c>
      <c r="J35" s="8">
        <f t="shared" si="8"/>
        <v>0.99999928005591165</v>
      </c>
      <c r="K35" s="35">
        <f t="shared" ref="K35:L35" si="17">+K36</f>
        <v>2565475.1529999999</v>
      </c>
      <c r="L35" s="35">
        <f t="shared" si="17"/>
        <v>0</v>
      </c>
    </row>
    <row r="36" spans="1:18" x14ac:dyDescent="0.25">
      <c r="A36" s="16" t="s">
        <v>71</v>
      </c>
      <c r="B36" s="29" t="s">
        <v>72</v>
      </c>
      <c r="C36" s="36">
        <v>10</v>
      </c>
      <c r="D36" s="36">
        <v>2565477</v>
      </c>
      <c r="E36" s="36">
        <v>2565475.1529999999</v>
      </c>
      <c r="F36" s="36">
        <f t="shared" si="12"/>
        <v>1.8470000000670552</v>
      </c>
      <c r="G36" s="36">
        <v>2565475.1529999999</v>
      </c>
      <c r="H36" s="36">
        <f t="shared" si="6"/>
        <v>0</v>
      </c>
      <c r="I36" s="10">
        <f t="shared" si="13"/>
        <v>0.99999928005591165</v>
      </c>
      <c r="J36" s="10">
        <f t="shared" si="8"/>
        <v>0.99999928005591165</v>
      </c>
      <c r="K36" s="36">
        <v>2565475.1529999999</v>
      </c>
      <c r="L36" s="36">
        <v>0</v>
      </c>
    </row>
    <row r="37" spans="1:18" x14ac:dyDescent="0.25">
      <c r="A37" s="290" t="s">
        <v>22</v>
      </c>
      <c r="B37" s="291"/>
      <c r="C37" s="39">
        <f t="shared" ref="C37:H37" si="18">+C17+C25+C26+C35</f>
        <v>50834718</v>
      </c>
      <c r="D37" s="39">
        <f t="shared" si="18"/>
        <v>53396803</v>
      </c>
      <c r="E37" s="39">
        <f t="shared" si="18"/>
        <v>52132464.537000008</v>
      </c>
      <c r="F37" s="39">
        <f t="shared" si="18"/>
        <v>1264338.4629999902</v>
      </c>
      <c r="G37" s="39">
        <f t="shared" si="18"/>
        <v>52103531.733999997</v>
      </c>
      <c r="H37" s="39">
        <f t="shared" si="18"/>
        <v>28932.803000009619</v>
      </c>
      <c r="I37" s="40">
        <f t="shared" si="13"/>
        <v>0.97632183217036439</v>
      </c>
      <c r="J37" s="40">
        <f t="shared" si="8"/>
        <v>0.97577998694041657</v>
      </c>
      <c r="K37" s="39">
        <f t="shared" ref="K37:L37" si="19">+K17+K25+K26+K35</f>
        <v>50307658.399999991</v>
      </c>
      <c r="L37" s="39">
        <f t="shared" si="19"/>
        <v>1795873.334</v>
      </c>
    </row>
    <row r="38" spans="1:18" x14ac:dyDescent="0.25">
      <c r="C38" s="23"/>
      <c r="D38" s="23"/>
      <c r="E38" s="23"/>
      <c r="F38" s="23"/>
      <c r="G38" s="23"/>
      <c r="H38" s="23"/>
    </row>
    <row r="39" spans="1:18" x14ac:dyDescent="0.25">
      <c r="A39" s="290" t="s">
        <v>322</v>
      </c>
      <c r="B39" s="291"/>
      <c r="C39" s="20">
        <f>C37-C35</f>
        <v>50834708</v>
      </c>
      <c r="D39" s="20">
        <f t="shared" ref="D39:G39" si="20">D37-D35</f>
        <v>50831326</v>
      </c>
      <c r="E39" s="20">
        <f t="shared" si="20"/>
        <v>49566989.384000011</v>
      </c>
      <c r="F39" s="20">
        <f t="shared" si="20"/>
        <v>1264336.6159999901</v>
      </c>
      <c r="G39" s="20">
        <f t="shared" si="20"/>
        <v>49538056.581</v>
      </c>
      <c r="H39" s="20">
        <f>H37-H35</f>
        <v>28932.803000009619</v>
      </c>
      <c r="I39" s="21">
        <f>+E39/D39</f>
        <v>0.97512682207031176</v>
      </c>
      <c r="J39" s="21">
        <f>+G39/D39</f>
        <v>0.97455762969866255</v>
      </c>
      <c r="K39" s="20">
        <f t="shared" ref="K39:L39" si="21">K37-K35</f>
        <v>47742183.246999994</v>
      </c>
      <c r="L39" s="20">
        <f t="shared" si="21"/>
        <v>1795873.334</v>
      </c>
      <c r="M39" s="23"/>
      <c r="N39" s="23"/>
      <c r="O39" s="23"/>
      <c r="P39" s="23"/>
      <c r="Q39" s="23"/>
      <c r="R39" s="23"/>
    </row>
    <row r="40" spans="1:18" ht="15" customHeight="1" x14ac:dyDescent="0.25">
      <c r="A40" s="82"/>
      <c r="B40" s="82"/>
      <c r="C40" s="82"/>
      <c r="D40" s="82"/>
      <c r="E40" s="82"/>
      <c r="F40" s="82"/>
      <c r="G40" s="82"/>
      <c r="H40" s="82"/>
      <c r="I40" s="82"/>
      <c r="J40" s="82"/>
    </row>
    <row r="41" spans="1:18" ht="46.5" x14ac:dyDescent="0.25">
      <c r="A41" s="82"/>
      <c r="B41" s="2" t="s">
        <v>97</v>
      </c>
      <c r="C41" s="2" t="s">
        <v>321</v>
      </c>
      <c r="D41" s="64" t="s">
        <v>307</v>
      </c>
      <c r="E41" s="82"/>
      <c r="F41" s="82"/>
      <c r="G41" s="82"/>
      <c r="H41" s="82"/>
      <c r="I41" s="82"/>
      <c r="J41" s="82"/>
    </row>
    <row r="42" spans="1:18" ht="15" customHeight="1" x14ac:dyDescent="0.25">
      <c r="A42" s="82"/>
      <c r="B42" s="11" t="s">
        <v>324</v>
      </c>
      <c r="C42" s="193">
        <f>G37/C37</f>
        <v>1.0249595902941764</v>
      </c>
      <c r="D42" s="193">
        <f>G37/D37</f>
        <v>0.97577998694041657</v>
      </c>
      <c r="E42" s="82"/>
      <c r="F42" s="82"/>
      <c r="G42" s="82"/>
      <c r="H42" s="82"/>
      <c r="I42" s="82"/>
      <c r="J42" s="82"/>
    </row>
    <row r="43" spans="1:18" ht="15" customHeight="1" x14ac:dyDescent="0.25">
      <c r="A43" s="82"/>
      <c r="B43" s="11" t="s">
        <v>323</v>
      </c>
      <c r="C43" s="193">
        <f>G39/C39</f>
        <v>0.97449279301456793</v>
      </c>
      <c r="D43" s="193">
        <f>G39/D39</f>
        <v>0.97455762969866255</v>
      </c>
      <c r="E43" s="82"/>
      <c r="F43" s="82"/>
      <c r="G43" s="82"/>
      <c r="H43" s="82"/>
      <c r="I43" s="82"/>
      <c r="J43" s="82"/>
    </row>
    <row r="44" spans="1:18" ht="15" customHeight="1" x14ac:dyDescent="0.25">
      <c r="A44" s="82"/>
      <c r="B44" s="82"/>
      <c r="C44" s="82"/>
      <c r="D44" s="82"/>
      <c r="E44" s="82"/>
      <c r="F44" s="82"/>
      <c r="G44" s="82"/>
      <c r="H44" s="82"/>
      <c r="I44" s="82"/>
      <c r="J44" s="82"/>
    </row>
    <row r="45" spans="1:18" ht="15" customHeight="1" x14ac:dyDescent="0.25">
      <c r="A45" s="82"/>
      <c r="B45" s="82"/>
      <c r="C45" s="82"/>
      <c r="D45" s="82"/>
      <c r="E45" s="82"/>
      <c r="F45" s="82"/>
      <c r="G45" s="82"/>
      <c r="H45" s="82"/>
      <c r="I45" s="82"/>
      <c r="J45" s="82"/>
    </row>
    <row r="46" spans="1:18" ht="15" customHeight="1" x14ac:dyDescent="0.25">
      <c r="A46" s="82"/>
      <c r="B46" s="82"/>
      <c r="C46" s="82"/>
      <c r="D46" s="82"/>
      <c r="E46" s="82"/>
      <c r="F46" s="82"/>
      <c r="G46" s="82"/>
      <c r="H46" s="82"/>
      <c r="I46" s="82"/>
      <c r="J46" s="82"/>
    </row>
    <row r="47" spans="1:18" ht="15" customHeight="1" x14ac:dyDescent="0.25">
      <c r="A47" s="82"/>
      <c r="B47" s="82"/>
      <c r="C47" s="82"/>
      <c r="D47" s="82"/>
      <c r="E47" s="82"/>
      <c r="F47" s="82"/>
      <c r="G47" s="82"/>
      <c r="H47" s="82"/>
      <c r="I47" s="82"/>
      <c r="J47" s="82"/>
    </row>
    <row r="49" spans="8:8" x14ac:dyDescent="0.25">
      <c r="H49" t="s">
        <v>73</v>
      </c>
    </row>
  </sheetData>
  <mergeCells count="4">
    <mergeCell ref="A2:K2"/>
    <mergeCell ref="A3:K3"/>
    <mergeCell ref="A39:B39"/>
    <mergeCell ref="A37:B37"/>
  </mergeCells>
  <printOptions horizontalCentered="1"/>
  <pageMargins left="0.70866141732283472" right="0.70866141732283472" top="0.74803149606299213" bottom="0.74803149606299213" header="0.31496062992125984" footer="0.31496062992125984"/>
  <pageSetup scale="7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2:I61"/>
  <sheetViews>
    <sheetView showGridLines="0" zoomScale="90" zoomScaleNormal="90" workbookViewId="0">
      <pane ySplit="5" topLeftCell="A6" activePane="bottomLeft" state="frozen"/>
      <selection activeCell="D12" sqref="D12"/>
      <selection pane="bottomLeft" activeCell="A2" sqref="A2:H2"/>
    </sheetView>
  </sheetViews>
  <sheetFormatPr baseColWidth="10" defaultRowHeight="15" x14ac:dyDescent="0.25"/>
  <cols>
    <col min="1" max="1" width="43.42578125" bestFit="1" customWidth="1"/>
    <col min="2" max="2" width="15" customWidth="1"/>
    <col min="3" max="3" width="14.7109375" customWidth="1"/>
    <col min="4" max="4" width="15" customWidth="1"/>
    <col min="5" max="5" width="14.5703125" customWidth="1"/>
    <col min="6" max="6" width="15.7109375" customWidth="1"/>
    <col min="7" max="7" width="14.5703125" customWidth="1"/>
    <col min="8" max="8" width="14.140625" customWidth="1"/>
    <col min="9" max="9" width="16.5703125" customWidth="1"/>
  </cols>
  <sheetData>
    <row r="2" spans="1:9" ht="14.25" customHeight="1" x14ac:dyDescent="0.25">
      <c r="A2" s="288" t="s">
        <v>220</v>
      </c>
      <c r="B2" s="288"/>
      <c r="C2" s="288"/>
      <c r="D2" s="288"/>
      <c r="E2" s="288"/>
      <c r="F2" s="288"/>
      <c r="G2" s="288"/>
      <c r="H2" s="288"/>
      <c r="I2" s="188"/>
    </row>
    <row r="3" spans="1:9" ht="14.25" customHeight="1" x14ac:dyDescent="0.25">
      <c r="A3" s="287" t="str">
        <f>'01-01'!A3:J3</f>
        <v>Reporte Ejecución al 31/12/2023 - Cierre (En Miles de $)</v>
      </c>
      <c r="B3" s="287"/>
      <c r="C3" s="287"/>
      <c r="D3" s="287"/>
      <c r="E3" s="287"/>
      <c r="F3" s="287"/>
      <c r="G3" s="287"/>
      <c r="H3" s="287"/>
      <c r="I3" s="23"/>
    </row>
    <row r="4" spans="1:9" ht="14.25" customHeight="1" x14ac:dyDescent="0.25">
      <c r="B4" s="23"/>
    </row>
    <row r="5" spans="1:9" ht="25.5" x14ac:dyDescent="0.25">
      <c r="A5" s="64" t="s">
        <v>221</v>
      </c>
      <c r="B5" s="64" t="s">
        <v>222</v>
      </c>
      <c r="C5" s="64" t="s">
        <v>3</v>
      </c>
      <c r="D5" s="64" t="s">
        <v>4</v>
      </c>
      <c r="E5" s="64" t="s">
        <v>5</v>
      </c>
      <c r="F5" s="64" t="s">
        <v>6</v>
      </c>
      <c r="G5" s="64" t="s">
        <v>7</v>
      </c>
      <c r="H5" s="64" t="s">
        <v>8</v>
      </c>
    </row>
    <row r="6" spans="1:9" ht="14.25" customHeight="1" x14ac:dyDescent="0.25">
      <c r="A6" s="141" t="s">
        <v>108</v>
      </c>
      <c r="B6" s="142">
        <f>SUM(B7:B14)</f>
        <v>2649408</v>
      </c>
      <c r="C6" s="142">
        <f>SUM(C7:C14)</f>
        <v>2577307.1069999998</v>
      </c>
      <c r="D6" s="142">
        <f t="shared" ref="D6:D45" si="0">B6-C6</f>
        <v>72100.893000000156</v>
      </c>
      <c r="E6" s="142">
        <f>SUM(E7:E14)</f>
        <v>2577307.1039999998</v>
      </c>
      <c r="F6" s="142">
        <f t="shared" ref="F6:F45" si="1">C6-E6</f>
        <v>3.0000000260770321E-3</v>
      </c>
      <c r="G6" s="143">
        <f>+C6/B6</f>
        <v>0.9727860363522719</v>
      </c>
      <c r="H6" s="143">
        <f>+E6/B6</f>
        <v>0.97278603521994345</v>
      </c>
    </row>
    <row r="7" spans="1:9" ht="14.25" customHeight="1" x14ac:dyDescent="0.25">
      <c r="A7" s="144" t="s">
        <v>223</v>
      </c>
      <c r="B7" s="145">
        <v>368000.005</v>
      </c>
      <c r="C7" s="145">
        <v>352364.86099999998</v>
      </c>
      <c r="D7" s="145">
        <f t="shared" si="0"/>
        <v>15635.144000000029</v>
      </c>
      <c r="E7" s="145">
        <v>352364.85800000001</v>
      </c>
      <c r="F7" s="145">
        <f t="shared" si="1"/>
        <v>2.9999999678693712E-3</v>
      </c>
      <c r="G7" s="32">
        <f>+C7/B7</f>
        <v>0.9575131962294402</v>
      </c>
      <c r="H7" s="32">
        <f>+E7/B7</f>
        <v>0.95751318807726649</v>
      </c>
    </row>
    <row r="8" spans="1:9" ht="14.25" customHeight="1" x14ac:dyDescent="0.25">
      <c r="A8" s="144" t="s">
        <v>224</v>
      </c>
      <c r="B8" s="145">
        <v>232000</v>
      </c>
      <c r="C8" s="145">
        <v>226748.671</v>
      </c>
      <c r="D8" s="145">
        <f t="shared" si="0"/>
        <v>5251.3289999999979</v>
      </c>
      <c r="E8" s="145">
        <v>226748.671</v>
      </c>
      <c r="F8" s="145">
        <f t="shared" si="1"/>
        <v>0</v>
      </c>
      <c r="G8" s="32">
        <f>+C8/B8</f>
        <v>0.97736496120689653</v>
      </c>
      <c r="H8" s="32">
        <f>+E8/B8</f>
        <v>0.97736496120689653</v>
      </c>
    </row>
    <row r="9" spans="1:9" ht="14.25" customHeight="1" x14ac:dyDescent="0.25">
      <c r="A9" s="144" t="s">
        <v>225</v>
      </c>
      <c r="B9" s="145">
        <v>119000.001</v>
      </c>
      <c r="C9" s="145">
        <v>118109.781</v>
      </c>
      <c r="D9" s="145">
        <f t="shared" si="0"/>
        <v>890.22000000000116</v>
      </c>
      <c r="E9" s="145">
        <v>118109.781</v>
      </c>
      <c r="F9" s="145">
        <f t="shared" si="1"/>
        <v>0</v>
      </c>
      <c r="G9" s="32">
        <f>+C9/B9</f>
        <v>0.99251915972672977</v>
      </c>
      <c r="H9" s="32">
        <f>+E9/B9</f>
        <v>0.99251915972672977</v>
      </c>
    </row>
    <row r="10" spans="1:9" ht="14.25" customHeight="1" x14ac:dyDescent="0.25">
      <c r="A10" s="146" t="s">
        <v>226</v>
      </c>
      <c r="B10" s="145">
        <v>476000</v>
      </c>
      <c r="C10" s="145">
        <v>453855.23600000003</v>
      </c>
      <c r="D10" s="145">
        <f t="shared" si="0"/>
        <v>22144.763999999966</v>
      </c>
      <c r="E10" s="145">
        <v>453855.23600000003</v>
      </c>
      <c r="F10" s="147">
        <f t="shared" si="1"/>
        <v>0</v>
      </c>
      <c r="G10" s="148">
        <f>+C10/B10</f>
        <v>0.95347738655462189</v>
      </c>
      <c r="H10" s="148">
        <f>+E10/B10</f>
        <v>0.95347738655462189</v>
      </c>
    </row>
    <row r="11" spans="1:9" ht="14.25" customHeight="1" x14ac:dyDescent="0.25">
      <c r="A11" s="146" t="s">
        <v>227</v>
      </c>
      <c r="B11" s="145">
        <v>0</v>
      </c>
      <c r="C11" s="145">
        <v>0</v>
      </c>
      <c r="D11" s="145">
        <f t="shared" si="0"/>
        <v>0</v>
      </c>
      <c r="E11" s="145">
        <v>0</v>
      </c>
      <c r="F11" s="147">
        <f t="shared" si="1"/>
        <v>0</v>
      </c>
      <c r="G11" s="148">
        <v>0</v>
      </c>
      <c r="H11" s="148">
        <v>0</v>
      </c>
    </row>
    <row r="12" spans="1:9" ht="14.25" customHeight="1" x14ac:dyDescent="0.25">
      <c r="A12" s="144" t="s">
        <v>228</v>
      </c>
      <c r="B12" s="145">
        <v>257004</v>
      </c>
      <c r="C12" s="145">
        <v>254502.75399999999</v>
      </c>
      <c r="D12" s="145">
        <f t="shared" si="0"/>
        <v>2501.2460000000137</v>
      </c>
      <c r="E12" s="145">
        <v>254502.75399999999</v>
      </c>
      <c r="F12" s="145">
        <f t="shared" si="1"/>
        <v>0</v>
      </c>
      <c r="G12" s="32">
        <f t="shared" ref="G12:G53" si="2">+C12/B12</f>
        <v>0.99026767676767669</v>
      </c>
      <c r="H12" s="32">
        <f t="shared" ref="H12:H55" si="3">+E12/B12</f>
        <v>0.99026767676767669</v>
      </c>
    </row>
    <row r="13" spans="1:9" ht="14.25" customHeight="1" x14ac:dyDescent="0.25">
      <c r="A13" s="144" t="s">
        <v>229</v>
      </c>
      <c r="B13" s="145">
        <v>328990</v>
      </c>
      <c r="C13" s="145">
        <v>320950.19900000002</v>
      </c>
      <c r="D13" s="145">
        <f t="shared" si="0"/>
        <v>8039.8009999999776</v>
      </c>
      <c r="E13" s="145">
        <v>320950.19900000002</v>
      </c>
      <c r="F13" s="145">
        <f t="shared" si="1"/>
        <v>0</v>
      </c>
      <c r="G13" s="32">
        <f t="shared" si="2"/>
        <v>0.97556217210249563</v>
      </c>
      <c r="H13" s="32">
        <f t="shared" si="3"/>
        <v>0.97556217210249563</v>
      </c>
    </row>
    <row r="14" spans="1:9" ht="14.25" customHeight="1" x14ac:dyDescent="0.25">
      <c r="A14" s="144" t="s">
        <v>230</v>
      </c>
      <c r="B14" s="145">
        <v>868413.99399999995</v>
      </c>
      <c r="C14" s="145">
        <v>850775.60499999986</v>
      </c>
      <c r="D14" s="145">
        <f t="shared" si="0"/>
        <v>17638.389000000083</v>
      </c>
      <c r="E14" s="145">
        <v>850775.60499999986</v>
      </c>
      <c r="F14" s="145">
        <f t="shared" si="1"/>
        <v>0</v>
      </c>
      <c r="G14" s="32">
        <f t="shared" si="2"/>
        <v>0.97968896272760886</v>
      </c>
      <c r="H14" s="32">
        <f t="shared" si="3"/>
        <v>0.97968896272760886</v>
      </c>
    </row>
    <row r="15" spans="1:9" ht="14.25" customHeight="1" x14ac:dyDescent="0.25">
      <c r="A15" s="141" t="s">
        <v>231</v>
      </c>
      <c r="B15" s="142">
        <f>SUM(B16:B19)</f>
        <v>924782.03</v>
      </c>
      <c r="C15" s="142">
        <f>SUM(C16:C19)</f>
        <v>857033.43099999998</v>
      </c>
      <c r="D15" s="142">
        <f t="shared" si="0"/>
        <v>67748.599000000046</v>
      </c>
      <c r="E15" s="142">
        <f>SUM(E16:E19)</f>
        <v>856760.1370000001</v>
      </c>
      <c r="F15" s="142">
        <f t="shared" si="1"/>
        <v>273.293999999878</v>
      </c>
      <c r="G15" s="143">
        <f t="shared" si="2"/>
        <v>0.92674100836496565</v>
      </c>
      <c r="H15" s="143">
        <f t="shared" si="3"/>
        <v>0.92644548575408636</v>
      </c>
    </row>
    <row r="16" spans="1:9" ht="14.25" customHeight="1" x14ac:dyDescent="0.25">
      <c r="A16" s="144" t="s">
        <v>232</v>
      </c>
      <c r="B16" s="145">
        <v>500</v>
      </c>
      <c r="C16" s="145">
        <v>273.29300000000001</v>
      </c>
      <c r="D16" s="145">
        <f t="shared" si="0"/>
        <v>226.70699999999999</v>
      </c>
      <c r="E16" s="145">
        <v>0</v>
      </c>
      <c r="F16" s="145">
        <f t="shared" si="1"/>
        <v>273.29300000000001</v>
      </c>
      <c r="G16" s="32">
        <f t="shared" si="2"/>
        <v>0.54658600000000002</v>
      </c>
      <c r="H16" s="32">
        <f t="shared" si="3"/>
        <v>0</v>
      </c>
    </row>
    <row r="17" spans="1:8" ht="14.25" customHeight="1" x14ac:dyDescent="0.25">
      <c r="A17" s="144" t="s">
        <v>233</v>
      </c>
      <c r="B17" s="145">
        <v>224384</v>
      </c>
      <c r="C17" s="145">
        <v>222046.997</v>
      </c>
      <c r="D17" s="145">
        <f t="shared" si="0"/>
        <v>2337.002999999997</v>
      </c>
      <c r="E17" s="145">
        <v>222046.997</v>
      </c>
      <c r="F17" s="145">
        <f t="shared" si="1"/>
        <v>0</v>
      </c>
      <c r="G17" s="32">
        <f t="shared" si="2"/>
        <v>0.98958480551197947</v>
      </c>
      <c r="H17" s="32">
        <f t="shared" si="3"/>
        <v>0.98958480551197947</v>
      </c>
    </row>
    <row r="18" spans="1:8" ht="14.25" customHeight="1" x14ac:dyDescent="0.25">
      <c r="A18" s="144" t="s">
        <v>234</v>
      </c>
      <c r="B18" s="145">
        <v>135655</v>
      </c>
      <c r="C18" s="145">
        <v>130977.59300000004</v>
      </c>
      <c r="D18" s="145">
        <f t="shared" si="0"/>
        <v>4677.4069999999629</v>
      </c>
      <c r="E18" s="145">
        <v>130977.59300000004</v>
      </c>
      <c r="F18" s="145">
        <f t="shared" si="1"/>
        <v>0</v>
      </c>
      <c r="G18" s="32">
        <f t="shared" si="2"/>
        <v>0.96551983340090697</v>
      </c>
      <c r="H18" s="32">
        <f t="shared" si="3"/>
        <v>0.96551983340090697</v>
      </c>
    </row>
    <row r="19" spans="1:8" ht="14.25" customHeight="1" x14ac:dyDescent="0.25">
      <c r="A19" s="144" t="s">
        <v>235</v>
      </c>
      <c r="B19" s="145">
        <v>564243.03</v>
      </c>
      <c r="C19" s="145">
        <v>503735.54799999995</v>
      </c>
      <c r="D19" s="145">
        <f t="shared" si="0"/>
        <v>60507.482000000076</v>
      </c>
      <c r="E19" s="145">
        <v>503735.54700000002</v>
      </c>
      <c r="F19" s="145">
        <f t="shared" si="1"/>
        <v>9.9999993108212948E-4</v>
      </c>
      <c r="G19" s="32">
        <f t="shared" si="2"/>
        <v>0.89276343918683398</v>
      </c>
      <c r="H19" s="32">
        <f t="shared" si="3"/>
        <v>0.89276343741454811</v>
      </c>
    </row>
    <row r="20" spans="1:8" ht="14.25" customHeight="1" x14ac:dyDescent="0.25">
      <c r="A20" s="141" t="s">
        <v>236</v>
      </c>
      <c r="B20" s="142">
        <f>SUM(B21:B26)</f>
        <v>4185506.3489999995</v>
      </c>
      <c r="C20" s="142">
        <f>SUM(C21:C26)</f>
        <v>3884100.0390000017</v>
      </c>
      <c r="D20" s="142">
        <f t="shared" si="0"/>
        <v>301406.30999999773</v>
      </c>
      <c r="E20" s="142">
        <f>SUM(E21:E26)</f>
        <v>3884100.0330000017</v>
      </c>
      <c r="F20" s="142">
        <f t="shared" si="1"/>
        <v>6.0000000521540642E-3</v>
      </c>
      <c r="G20" s="143">
        <f t="shared" si="2"/>
        <v>0.92798808916584019</v>
      </c>
      <c r="H20" s="143">
        <f t="shared" si="3"/>
        <v>0.92798808773232189</v>
      </c>
    </row>
    <row r="21" spans="1:8" ht="14.25" customHeight="1" x14ac:dyDescent="0.25">
      <c r="A21" s="144" t="s">
        <v>237</v>
      </c>
      <c r="B21" s="145">
        <v>2884687.9999999995</v>
      </c>
      <c r="C21" s="145">
        <v>2653056.7640000018</v>
      </c>
      <c r="D21" s="145">
        <f t="shared" si="0"/>
        <v>231631.23599999771</v>
      </c>
      <c r="E21" s="145">
        <v>2653056.7640000018</v>
      </c>
      <c r="F21" s="145">
        <f t="shared" si="1"/>
        <v>0</v>
      </c>
      <c r="G21" s="32">
        <f t="shared" si="2"/>
        <v>0.91970319285829261</v>
      </c>
      <c r="H21" s="32">
        <f t="shared" si="3"/>
        <v>0.91970319285829261</v>
      </c>
    </row>
    <row r="22" spans="1:8" ht="14.25" customHeight="1" x14ac:dyDescent="0.25">
      <c r="A22" s="144" t="s">
        <v>238</v>
      </c>
      <c r="B22" s="145">
        <v>73926.176000000007</v>
      </c>
      <c r="C22" s="145">
        <v>73280.928</v>
      </c>
      <c r="D22" s="145">
        <f t="shared" si="0"/>
        <v>645.24800000000687</v>
      </c>
      <c r="E22" s="145">
        <v>73280.92300000001</v>
      </c>
      <c r="F22" s="145">
        <f t="shared" si="1"/>
        <v>4.9999999901046976E-3</v>
      </c>
      <c r="G22" s="32">
        <f t="shared" si="2"/>
        <v>0.99127172491648952</v>
      </c>
      <c r="H22" s="32">
        <f t="shared" si="3"/>
        <v>0.99127165728144795</v>
      </c>
    </row>
    <row r="23" spans="1:8" ht="14.25" customHeight="1" x14ac:dyDescent="0.25">
      <c r="A23" s="144" t="s">
        <v>239</v>
      </c>
      <c r="B23" s="145">
        <v>855499.35900000017</v>
      </c>
      <c r="C23" s="145">
        <v>817014.84400000004</v>
      </c>
      <c r="D23" s="145">
        <f t="shared" si="0"/>
        <v>38484.51500000013</v>
      </c>
      <c r="E23" s="145">
        <v>817014.84299999999</v>
      </c>
      <c r="F23" s="145">
        <f t="shared" si="1"/>
        <v>1.0000000474974513E-3</v>
      </c>
      <c r="G23" s="32">
        <f t="shared" si="2"/>
        <v>0.95501514455255121</v>
      </c>
      <c r="H23" s="32">
        <f t="shared" si="3"/>
        <v>0.95501514338364313</v>
      </c>
    </row>
    <row r="24" spans="1:8" ht="14.25" customHeight="1" x14ac:dyDescent="0.25">
      <c r="A24" s="144" t="s">
        <v>240</v>
      </c>
      <c r="B24" s="145">
        <v>110000</v>
      </c>
      <c r="C24" s="145">
        <v>110000</v>
      </c>
      <c r="D24" s="145">
        <f t="shared" si="0"/>
        <v>0</v>
      </c>
      <c r="E24" s="145">
        <v>110000</v>
      </c>
      <c r="F24" s="145">
        <f t="shared" si="1"/>
        <v>0</v>
      </c>
      <c r="G24" s="32">
        <f t="shared" si="2"/>
        <v>1</v>
      </c>
      <c r="H24" s="32">
        <f t="shared" si="3"/>
        <v>1</v>
      </c>
    </row>
    <row r="25" spans="1:8" ht="14.25" customHeight="1" x14ac:dyDescent="0.25">
      <c r="A25" s="144" t="s">
        <v>241</v>
      </c>
      <c r="B25" s="145">
        <v>220000</v>
      </c>
      <c r="C25" s="145">
        <v>220000</v>
      </c>
      <c r="D25" s="145">
        <f t="shared" si="0"/>
        <v>0</v>
      </c>
      <c r="E25" s="145">
        <v>220000</v>
      </c>
      <c r="F25" s="145">
        <f t="shared" si="1"/>
        <v>0</v>
      </c>
      <c r="G25" s="32">
        <f t="shared" si="2"/>
        <v>1</v>
      </c>
      <c r="H25" s="32">
        <f t="shared" si="3"/>
        <v>1</v>
      </c>
    </row>
    <row r="26" spans="1:8" ht="14.25" customHeight="1" x14ac:dyDescent="0.25">
      <c r="A26" s="144" t="s">
        <v>242</v>
      </c>
      <c r="B26" s="145">
        <v>41392.813999999998</v>
      </c>
      <c r="C26" s="145">
        <v>10747.502999999999</v>
      </c>
      <c r="D26" s="145">
        <f t="shared" si="0"/>
        <v>30645.311000000002</v>
      </c>
      <c r="E26" s="145">
        <v>10747.502999999999</v>
      </c>
      <c r="F26" s="145">
        <f t="shared" si="1"/>
        <v>0</v>
      </c>
      <c r="G26" s="32">
        <f t="shared" si="2"/>
        <v>0.25964658986460787</v>
      </c>
      <c r="H26" s="32">
        <f t="shared" si="3"/>
        <v>0.25964658986460787</v>
      </c>
    </row>
    <row r="27" spans="1:8" ht="14.25" customHeight="1" x14ac:dyDescent="0.25">
      <c r="A27" s="141" t="s">
        <v>243</v>
      </c>
      <c r="B27" s="142">
        <f>SUM(B28:B28)</f>
        <v>153126.68299999999</v>
      </c>
      <c r="C27" s="142">
        <f>SUM(C28:C28)</f>
        <v>152693.90300000002</v>
      </c>
      <c r="D27" s="142">
        <f t="shared" si="0"/>
        <v>432.77999999996973</v>
      </c>
      <c r="E27" s="142">
        <f>SUM(E28:E28)</f>
        <v>152693.90300000002</v>
      </c>
      <c r="F27" s="142">
        <f t="shared" si="1"/>
        <v>0</v>
      </c>
      <c r="G27" s="143">
        <f t="shared" si="2"/>
        <v>0.99717371269643473</v>
      </c>
      <c r="H27" s="143">
        <f t="shared" si="3"/>
        <v>0.99717371269643473</v>
      </c>
    </row>
    <row r="28" spans="1:8" ht="14.25" customHeight="1" x14ac:dyDescent="0.25">
      <c r="A28" s="144" t="s">
        <v>244</v>
      </c>
      <c r="B28" s="145">
        <v>153126.68299999999</v>
      </c>
      <c r="C28" s="145">
        <v>152693.90300000002</v>
      </c>
      <c r="D28" s="145">
        <f t="shared" si="0"/>
        <v>432.77999999996973</v>
      </c>
      <c r="E28" s="145">
        <v>152693.90300000002</v>
      </c>
      <c r="F28" s="145">
        <f t="shared" si="1"/>
        <v>0</v>
      </c>
      <c r="G28" s="32">
        <f t="shared" si="2"/>
        <v>0.99717371269643473</v>
      </c>
      <c r="H28" s="32">
        <f t="shared" si="3"/>
        <v>0.99717371269643473</v>
      </c>
    </row>
    <row r="29" spans="1:8" ht="14.25" customHeight="1" x14ac:dyDescent="0.25">
      <c r="A29" s="141" t="s">
        <v>245</v>
      </c>
      <c r="B29" s="142">
        <f>+B30</f>
        <v>177708</v>
      </c>
      <c r="C29" s="142">
        <f>+C30</f>
        <v>174456.33600000001</v>
      </c>
      <c r="D29" s="142">
        <f t="shared" si="0"/>
        <v>3251.6639999999898</v>
      </c>
      <c r="E29" s="142">
        <f>+E30</f>
        <v>174456.33600000001</v>
      </c>
      <c r="F29" s="142">
        <f t="shared" si="1"/>
        <v>0</v>
      </c>
      <c r="G29" s="143">
        <f t="shared" si="2"/>
        <v>0.98170220811668585</v>
      </c>
      <c r="H29" s="143">
        <f t="shared" si="3"/>
        <v>0.98170220811668585</v>
      </c>
    </row>
    <row r="30" spans="1:8" ht="14.25" customHeight="1" x14ac:dyDescent="0.25">
      <c r="A30" s="144" t="s">
        <v>246</v>
      </c>
      <c r="B30" s="145">
        <v>177708</v>
      </c>
      <c r="C30" s="145">
        <v>174456.33600000001</v>
      </c>
      <c r="D30" s="145">
        <f t="shared" si="0"/>
        <v>3251.6639999999898</v>
      </c>
      <c r="E30" s="145">
        <v>174456.33600000001</v>
      </c>
      <c r="F30" s="145">
        <f t="shared" si="1"/>
        <v>0</v>
      </c>
      <c r="G30" s="32">
        <f t="shared" si="2"/>
        <v>0.98170220811668585</v>
      </c>
      <c r="H30" s="32">
        <f t="shared" si="3"/>
        <v>0.98170220811668585</v>
      </c>
    </row>
    <row r="31" spans="1:8" ht="14.25" customHeight="1" x14ac:dyDescent="0.25">
      <c r="A31" s="141" t="s">
        <v>247</v>
      </c>
      <c r="B31" s="142">
        <f>SUM(B32:B38)</f>
        <v>2004518.112</v>
      </c>
      <c r="C31" s="142">
        <f>SUM(C32:C38)</f>
        <v>1895437.6860000002</v>
      </c>
      <c r="D31" s="142">
        <f t="shared" si="0"/>
        <v>109080.42599999974</v>
      </c>
      <c r="E31" s="142">
        <f>SUM(E32:E38)</f>
        <v>1895406.2420000001</v>
      </c>
      <c r="F31" s="142">
        <f t="shared" si="1"/>
        <v>31.44400000013411</v>
      </c>
      <c r="G31" s="143">
        <f t="shared" si="2"/>
        <v>0.94558271868585653</v>
      </c>
      <c r="H31" s="143">
        <f t="shared" si="3"/>
        <v>0.94556703212268112</v>
      </c>
    </row>
    <row r="32" spans="1:8" ht="14.25" customHeight="1" x14ac:dyDescent="0.25">
      <c r="A32" s="144" t="s">
        <v>248</v>
      </c>
      <c r="B32" s="145">
        <v>441197.52899999998</v>
      </c>
      <c r="C32" s="145">
        <v>417428.08199999999</v>
      </c>
      <c r="D32" s="145">
        <f t="shared" si="0"/>
        <v>23769.446999999986</v>
      </c>
      <c r="E32" s="145">
        <v>417428.08199999999</v>
      </c>
      <c r="F32" s="145">
        <f t="shared" si="1"/>
        <v>0</v>
      </c>
      <c r="G32" s="32">
        <f t="shared" si="2"/>
        <v>0.94612515837549038</v>
      </c>
      <c r="H32" s="32">
        <f t="shared" si="3"/>
        <v>0.94612515837549038</v>
      </c>
    </row>
    <row r="33" spans="1:8" ht="14.25" customHeight="1" x14ac:dyDescent="0.25">
      <c r="A33" s="144" t="s">
        <v>249</v>
      </c>
      <c r="B33" s="145">
        <v>13868</v>
      </c>
      <c r="C33" s="145">
        <v>886.68799999999999</v>
      </c>
      <c r="D33" s="145">
        <f t="shared" si="0"/>
        <v>12981.312</v>
      </c>
      <c r="E33" s="145">
        <v>855.24399999999991</v>
      </c>
      <c r="F33" s="145">
        <f t="shared" si="1"/>
        <v>31.444000000000074</v>
      </c>
      <c r="G33" s="32">
        <f t="shared" si="2"/>
        <v>6.3937698298240558E-2</v>
      </c>
      <c r="H33" s="32">
        <f t="shared" si="3"/>
        <v>6.1670320161522928E-2</v>
      </c>
    </row>
    <row r="34" spans="1:8" ht="14.25" customHeight="1" x14ac:dyDescent="0.25">
      <c r="A34" s="144" t="s">
        <v>109</v>
      </c>
      <c r="B34" s="145">
        <v>147340</v>
      </c>
      <c r="C34" s="145">
        <v>93712.108999999997</v>
      </c>
      <c r="D34" s="145">
        <f t="shared" si="0"/>
        <v>53627.891000000003</v>
      </c>
      <c r="E34" s="145">
        <v>93712.108999999997</v>
      </c>
      <c r="F34" s="145">
        <f t="shared" si="1"/>
        <v>0</v>
      </c>
      <c r="G34" s="32">
        <f t="shared" si="2"/>
        <v>0.63602625899280574</v>
      </c>
      <c r="H34" s="32">
        <f t="shared" si="3"/>
        <v>0.63602625899280574</v>
      </c>
    </row>
    <row r="35" spans="1:8" ht="14.25" customHeight="1" x14ac:dyDescent="0.25">
      <c r="A35" s="144" t="s">
        <v>250</v>
      </c>
      <c r="B35" s="145">
        <v>56317.19</v>
      </c>
      <c r="C35" s="145">
        <v>56317.19</v>
      </c>
      <c r="D35" s="145">
        <f t="shared" si="0"/>
        <v>0</v>
      </c>
      <c r="E35" s="145">
        <v>56317.19</v>
      </c>
      <c r="F35" s="145">
        <f t="shared" si="1"/>
        <v>0</v>
      </c>
      <c r="G35" s="32">
        <f t="shared" si="2"/>
        <v>1</v>
      </c>
      <c r="H35" s="32">
        <f t="shared" si="3"/>
        <v>1</v>
      </c>
    </row>
    <row r="36" spans="1:8" ht="14.25" customHeight="1" x14ac:dyDescent="0.25">
      <c r="A36" s="144" t="s">
        <v>251</v>
      </c>
      <c r="B36" s="145">
        <v>1345795.3929999999</v>
      </c>
      <c r="C36" s="145">
        <v>1327093.6170000001</v>
      </c>
      <c r="D36" s="145">
        <f t="shared" si="0"/>
        <v>18701.775999999838</v>
      </c>
      <c r="E36" s="145">
        <v>1327093.6170000001</v>
      </c>
      <c r="F36" s="145">
        <f t="shared" si="1"/>
        <v>0</v>
      </c>
      <c r="G36" s="32">
        <f t="shared" si="2"/>
        <v>0.98610355177519926</v>
      </c>
      <c r="H36" s="32">
        <f t="shared" si="3"/>
        <v>0.98610355177519926</v>
      </c>
    </row>
    <row r="37" spans="1:8" ht="14.25" hidden="1" customHeight="1" x14ac:dyDescent="0.25">
      <c r="A37" s="144" t="s">
        <v>252</v>
      </c>
      <c r="B37" s="145"/>
      <c r="C37" s="145"/>
      <c r="D37" s="145">
        <f t="shared" si="0"/>
        <v>0</v>
      </c>
      <c r="E37" s="145"/>
      <c r="F37" s="145">
        <f t="shared" si="1"/>
        <v>0</v>
      </c>
      <c r="G37" s="32" t="e">
        <f t="shared" si="2"/>
        <v>#DIV/0!</v>
      </c>
      <c r="H37" s="32" t="e">
        <f t="shared" si="3"/>
        <v>#DIV/0!</v>
      </c>
    </row>
    <row r="38" spans="1:8" ht="14.25" customHeight="1" x14ac:dyDescent="0.25">
      <c r="A38" s="144" t="s">
        <v>253</v>
      </c>
      <c r="B38" s="145">
        <v>0</v>
      </c>
      <c r="C38" s="145">
        <v>0</v>
      </c>
      <c r="D38" s="145">
        <f t="shared" si="0"/>
        <v>0</v>
      </c>
      <c r="E38" s="145">
        <v>0</v>
      </c>
      <c r="F38" s="145">
        <f t="shared" si="1"/>
        <v>0</v>
      </c>
      <c r="G38" s="32">
        <v>0</v>
      </c>
      <c r="H38" s="32">
        <v>0</v>
      </c>
    </row>
    <row r="39" spans="1:8" ht="14.25" customHeight="1" x14ac:dyDescent="0.25">
      <c r="A39" s="141" t="s">
        <v>254</v>
      </c>
      <c r="B39" s="142">
        <f>SUM(B40:B45)</f>
        <v>171171.66700000002</v>
      </c>
      <c r="C39" s="142">
        <f>SUM(C40:C45)</f>
        <v>108803.82999999999</v>
      </c>
      <c r="D39" s="142">
        <f t="shared" si="0"/>
        <v>62367.837000000029</v>
      </c>
      <c r="E39" s="142">
        <f>SUM(E40:E45)</f>
        <v>108075.48499999999</v>
      </c>
      <c r="F39" s="142">
        <f t="shared" si="1"/>
        <v>728.34500000000116</v>
      </c>
      <c r="G39" s="143">
        <f t="shared" si="2"/>
        <v>0.63564158664178916</v>
      </c>
      <c r="H39" s="143">
        <f t="shared" si="3"/>
        <v>0.6313865308094474</v>
      </c>
    </row>
    <row r="40" spans="1:8" ht="14.25" customHeight="1" x14ac:dyDescent="0.25">
      <c r="A40" s="144" t="s">
        <v>254</v>
      </c>
      <c r="B40" s="145">
        <v>12053.332999999999</v>
      </c>
      <c r="C40" s="145">
        <v>6578.402</v>
      </c>
      <c r="D40" s="145">
        <f t="shared" si="0"/>
        <v>5474.9309999999987</v>
      </c>
      <c r="E40" s="145">
        <v>5850.0569999999998</v>
      </c>
      <c r="F40" s="145">
        <f t="shared" si="1"/>
        <v>728.34500000000025</v>
      </c>
      <c r="G40" s="32">
        <f t="shared" si="2"/>
        <v>0.54577451730571125</v>
      </c>
      <c r="H40" s="32">
        <f t="shared" si="3"/>
        <v>0.48534766275850838</v>
      </c>
    </row>
    <row r="41" spans="1:8" ht="14.25" customHeight="1" x14ac:dyDescent="0.25">
      <c r="A41" s="144" t="s">
        <v>255</v>
      </c>
      <c r="B41" s="145">
        <v>30827</v>
      </c>
      <c r="C41" s="145">
        <v>0</v>
      </c>
      <c r="D41" s="145">
        <f t="shared" si="0"/>
        <v>30827</v>
      </c>
      <c r="E41" s="145">
        <v>0</v>
      </c>
      <c r="F41" s="145">
        <f t="shared" si="1"/>
        <v>0</v>
      </c>
      <c r="G41" s="32">
        <f t="shared" si="2"/>
        <v>0</v>
      </c>
      <c r="H41" s="32">
        <f t="shared" si="3"/>
        <v>0</v>
      </c>
    </row>
    <row r="42" spans="1:8" ht="14.25" customHeight="1" x14ac:dyDescent="0.25">
      <c r="A42" s="144" t="s">
        <v>256</v>
      </c>
      <c r="B42" s="145">
        <v>18000</v>
      </c>
      <c r="C42" s="145">
        <v>18000</v>
      </c>
      <c r="D42" s="145">
        <f t="shared" si="0"/>
        <v>0</v>
      </c>
      <c r="E42" s="145">
        <v>18000</v>
      </c>
      <c r="F42" s="145">
        <f t="shared" si="1"/>
        <v>0</v>
      </c>
      <c r="G42" s="32">
        <f t="shared" si="2"/>
        <v>1</v>
      </c>
      <c r="H42" s="32">
        <f t="shared" si="3"/>
        <v>1</v>
      </c>
    </row>
    <row r="43" spans="1:8" ht="14.25" customHeight="1" x14ac:dyDescent="0.25">
      <c r="A43" s="144" t="s">
        <v>257</v>
      </c>
      <c r="B43" s="145">
        <v>50000</v>
      </c>
      <c r="C43" s="145">
        <v>46808.125999999997</v>
      </c>
      <c r="D43" s="145">
        <f t="shared" si="0"/>
        <v>3191.8740000000034</v>
      </c>
      <c r="E43" s="145">
        <v>46808.125999999997</v>
      </c>
      <c r="F43" s="145">
        <f t="shared" si="1"/>
        <v>0</v>
      </c>
      <c r="G43" s="32">
        <f t="shared" si="2"/>
        <v>0.93616251999999989</v>
      </c>
      <c r="H43" s="32">
        <f t="shared" si="3"/>
        <v>0.93616251999999989</v>
      </c>
    </row>
    <row r="44" spans="1:8" ht="14.25" customHeight="1" x14ac:dyDescent="0.25">
      <c r="A44" s="144" t="s">
        <v>258</v>
      </c>
      <c r="B44" s="145">
        <v>17008</v>
      </c>
      <c r="C44" s="145">
        <v>13388.5</v>
      </c>
      <c r="D44" s="145">
        <f t="shared" si="0"/>
        <v>3619.5</v>
      </c>
      <c r="E44" s="145">
        <v>13388.5</v>
      </c>
      <c r="F44" s="145">
        <f t="shared" si="1"/>
        <v>0</v>
      </c>
      <c r="G44" s="32">
        <f t="shared" si="2"/>
        <v>0.78718838193791152</v>
      </c>
      <c r="H44" s="32">
        <f t="shared" si="3"/>
        <v>0.78718838193791152</v>
      </c>
    </row>
    <row r="45" spans="1:8" ht="14.25" customHeight="1" x14ac:dyDescent="0.25">
      <c r="A45" s="144" t="s">
        <v>259</v>
      </c>
      <c r="B45" s="145">
        <v>43283.334000000003</v>
      </c>
      <c r="C45" s="145">
        <v>24028.802</v>
      </c>
      <c r="D45" s="145">
        <f t="shared" si="0"/>
        <v>19254.532000000003</v>
      </c>
      <c r="E45" s="145">
        <v>24028.802</v>
      </c>
      <c r="F45" s="145">
        <f t="shared" si="1"/>
        <v>0</v>
      </c>
      <c r="G45" s="32">
        <f t="shared" si="2"/>
        <v>0.55515136611241633</v>
      </c>
      <c r="H45" s="32">
        <f t="shared" si="3"/>
        <v>0.55515136611241633</v>
      </c>
    </row>
    <row r="46" spans="1:8" ht="14.25" customHeight="1" x14ac:dyDescent="0.25">
      <c r="A46" s="141" t="s">
        <v>260</v>
      </c>
      <c r="B46" s="142">
        <f>SUM(B47:B54)</f>
        <v>4027375.159</v>
      </c>
      <c r="C46" s="142">
        <f t="shared" ref="C46:D46" si="4">SUM(C47:C54)</f>
        <v>3239617.3279999997</v>
      </c>
      <c r="D46" s="142">
        <f t="shared" si="4"/>
        <v>787757.83099999977</v>
      </c>
      <c r="E46" s="142">
        <f>SUM(E47:E54)</f>
        <v>3237794.7349999994</v>
      </c>
      <c r="F46" s="142">
        <f>SUM(F47:F54)</f>
        <v>1822.5930000001547</v>
      </c>
      <c r="G46" s="143">
        <f t="shared" si="2"/>
        <v>0.80439919304771179</v>
      </c>
      <c r="H46" s="143">
        <f t="shared" si="3"/>
        <v>0.80394664196219212</v>
      </c>
    </row>
    <row r="47" spans="1:8" ht="14.25" customHeight="1" x14ac:dyDescent="0.25">
      <c r="A47" s="144" t="s">
        <v>261</v>
      </c>
      <c r="B47" s="145">
        <v>5000</v>
      </c>
      <c r="C47" s="145">
        <v>187.816</v>
      </c>
      <c r="D47" s="145">
        <f t="shared" ref="D47:D53" si="5">B47-C47</f>
        <v>4812.1840000000002</v>
      </c>
      <c r="E47" s="145">
        <v>187.816</v>
      </c>
      <c r="F47" s="145">
        <f t="shared" ref="F47:F54" si="6">C47-E47</f>
        <v>0</v>
      </c>
      <c r="G47" s="32">
        <f t="shared" si="2"/>
        <v>3.7563199999999998E-2</v>
      </c>
      <c r="H47" s="32">
        <f t="shared" si="3"/>
        <v>3.7563199999999998E-2</v>
      </c>
    </row>
    <row r="48" spans="1:8" ht="14.25" customHeight="1" x14ac:dyDescent="0.25">
      <c r="A48" s="144" t="s">
        <v>262</v>
      </c>
      <c r="B48" s="145">
        <v>1500</v>
      </c>
      <c r="C48" s="145">
        <v>246.50700000000001</v>
      </c>
      <c r="D48" s="145">
        <f t="shared" si="5"/>
        <v>1253.4929999999999</v>
      </c>
      <c r="E48" s="145">
        <v>246.50700000000001</v>
      </c>
      <c r="F48" s="145">
        <f t="shared" si="6"/>
        <v>0</v>
      </c>
      <c r="G48" s="32">
        <f t="shared" si="2"/>
        <v>0.16433800000000001</v>
      </c>
      <c r="H48" s="32">
        <f t="shared" si="3"/>
        <v>0.16433800000000001</v>
      </c>
    </row>
    <row r="49" spans="1:8" ht="14.25" customHeight="1" x14ac:dyDescent="0.25">
      <c r="A49" s="144" t="s">
        <v>263</v>
      </c>
      <c r="B49" s="145">
        <v>1600</v>
      </c>
      <c r="C49" s="145">
        <v>1174.296</v>
      </c>
      <c r="D49" s="145">
        <f t="shared" si="5"/>
        <v>425.70399999999995</v>
      </c>
      <c r="E49" s="145">
        <v>1150.819</v>
      </c>
      <c r="F49" s="145">
        <f t="shared" si="6"/>
        <v>23.477000000000089</v>
      </c>
      <c r="G49" s="32">
        <f t="shared" si="2"/>
        <v>0.733935</v>
      </c>
      <c r="H49" s="32">
        <f t="shared" si="3"/>
        <v>0.71926187499999994</v>
      </c>
    </row>
    <row r="50" spans="1:8" ht="14.25" customHeight="1" x14ac:dyDescent="0.25">
      <c r="A50" s="144" t="s">
        <v>264</v>
      </c>
      <c r="B50" s="145">
        <v>2000</v>
      </c>
      <c r="C50" s="145">
        <v>0</v>
      </c>
      <c r="D50" s="145">
        <f t="shared" si="5"/>
        <v>2000</v>
      </c>
      <c r="E50" s="145">
        <v>0</v>
      </c>
      <c r="F50" s="145">
        <f t="shared" si="6"/>
        <v>0</v>
      </c>
      <c r="G50" s="32">
        <f t="shared" si="2"/>
        <v>0</v>
      </c>
      <c r="H50" s="32">
        <f t="shared" si="3"/>
        <v>0</v>
      </c>
    </row>
    <row r="51" spans="1:8" ht="14.25" customHeight="1" x14ac:dyDescent="0.25">
      <c r="A51" s="144" t="s">
        <v>265</v>
      </c>
      <c r="B51" s="145">
        <v>1805178.2669999998</v>
      </c>
      <c r="C51" s="145">
        <v>1727085.4339999999</v>
      </c>
      <c r="D51" s="145">
        <f t="shared" si="5"/>
        <v>78092.832999999868</v>
      </c>
      <c r="E51" s="145">
        <v>1725286.3179999997</v>
      </c>
      <c r="F51" s="145">
        <f t="shared" si="6"/>
        <v>1799.1160000001546</v>
      </c>
      <c r="G51" s="32">
        <f t="shared" si="2"/>
        <v>0.95673954510333137</v>
      </c>
      <c r="H51" s="32">
        <f t="shared" si="3"/>
        <v>0.95574290336833534</v>
      </c>
    </row>
    <row r="52" spans="1:8" ht="14.25" customHeight="1" x14ac:dyDescent="0.25">
      <c r="A52" s="144" t="s">
        <v>266</v>
      </c>
      <c r="B52" s="145">
        <v>14399.940999999999</v>
      </c>
      <c r="C52" s="145">
        <v>10923.275</v>
      </c>
      <c r="D52" s="145">
        <f t="shared" si="5"/>
        <v>3476.6659999999993</v>
      </c>
      <c r="E52" s="145">
        <v>10923.275</v>
      </c>
      <c r="F52" s="145">
        <f t="shared" si="6"/>
        <v>0</v>
      </c>
      <c r="G52" s="32">
        <f t="shared" si="2"/>
        <v>0.75856387189364183</v>
      </c>
      <c r="H52" s="32">
        <f t="shared" si="3"/>
        <v>0.75856387189364183</v>
      </c>
    </row>
    <row r="53" spans="1:8" ht="14.25" customHeight="1" x14ac:dyDescent="0.25">
      <c r="A53" s="144" t="s">
        <v>267</v>
      </c>
      <c r="B53" s="145">
        <v>143980.20000000001</v>
      </c>
      <c r="C53" s="145">
        <v>0</v>
      </c>
      <c r="D53" s="145">
        <f t="shared" si="5"/>
        <v>143980.20000000001</v>
      </c>
      <c r="E53" s="145">
        <v>0</v>
      </c>
      <c r="F53" s="145">
        <f t="shared" si="6"/>
        <v>0</v>
      </c>
      <c r="G53" s="32">
        <f t="shared" si="2"/>
        <v>0</v>
      </c>
      <c r="H53" s="32">
        <f t="shared" si="3"/>
        <v>0</v>
      </c>
    </row>
    <row r="54" spans="1:8" ht="14.25" customHeight="1" x14ac:dyDescent="0.25">
      <c r="A54" s="144" t="s">
        <v>306</v>
      </c>
      <c r="B54" s="145">
        <v>2053716.7509999999</v>
      </c>
      <c r="C54" s="145">
        <v>1500000</v>
      </c>
      <c r="D54" s="145">
        <f t="shared" ref="D54" si="7">B54-C54</f>
        <v>553716.75099999993</v>
      </c>
      <c r="E54" s="145">
        <v>1500000</v>
      </c>
      <c r="F54" s="145">
        <f t="shared" si="6"/>
        <v>0</v>
      </c>
      <c r="G54" s="32">
        <f t="shared" ref="G54" si="8">+C54/B54</f>
        <v>0.73038309653442568</v>
      </c>
      <c r="H54" s="32">
        <f t="shared" si="3"/>
        <v>0.73038309653442568</v>
      </c>
    </row>
    <row r="55" spans="1:8" ht="14.25" customHeight="1" x14ac:dyDescent="0.25">
      <c r="A55" s="149" t="s">
        <v>22</v>
      </c>
      <c r="B55" s="150">
        <f>B46+B39+B31+B29+B27+B20+B15+B6</f>
        <v>14293595.999999998</v>
      </c>
      <c r="C55" s="150">
        <f>C46+C39+C31+C29+C27+C20+C15+C6</f>
        <v>12889449.66</v>
      </c>
      <c r="D55" s="150">
        <f>D46+D39+D31+D29+D27+D20+D15+D6</f>
        <v>1404146.3399999975</v>
      </c>
      <c r="E55" s="150">
        <f>E46+E39+E31+E29+E27+E20+E15+E6</f>
        <v>12886593.975000001</v>
      </c>
      <c r="F55" s="150">
        <f>F46+F39+F31+F29+F27+F20+F15+F6</f>
        <v>2855.685000000246</v>
      </c>
      <c r="G55" s="151">
        <f>+C55/B55</f>
        <v>0.90176395499075268</v>
      </c>
      <c r="H55" s="151">
        <f t="shared" si="3"/>
        <v>0.90156416726763533</v>
      </c>
    </row>
    <row r="56" spans="1:8" ht="14.25" customHeight="1" x14ac:dyDescent="0.25"/>
    <row r="57" spans="1:8" ht="14.25" customHeight="1" x14ac:dyDescent="0.25">
      <c r="A57" s="23"/>
      <c r="B57" s="23"/>
      <c r="C57" s="23"/>
      <c r="D57" s="23"/>
    </row>
    <row r="58" spans="1:8" x14ac:dyDescent="0.25">
      <c r="B58" s="23"/>
      <c r="D58" s="23"/>
    </row>
    <row r="59" spans="1:8" x14ac:dyDescent="0.25">
      <c r="B59" s="23"/>
    </row>
    <row r="60" spans="1:8" x14ac:dyDescent="0.25">
      <c r="B60" s="23"/>
    </row>
    <row r="61" spans="1:8" x14ac:dyDescent="0.25">
      <c r="B61" s="23"/>
      <c r="C61" s="23"/>
    </row>
  </sheetData>
  <mergeCells count="2">
    <mergeCell ref="A2:H2"/>
    <mergeCell ref="A3:H3"/>
  </mergeCells>
  <printOptions horizontalCentered="1"/>
  <pageMargins left="0.70866141732283472" right="0.70866141732283472" top="0.74803149606299213" bottom="0.74803149606299213" header="0.31496062992125984" footer="0.31496062992125984"/>
  <pageSetup scale="6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2:I48"/>
  <sheetViews>
    <sheetView zoomScale="90" zoomScaleNormal="90" workbookViewId="0">
      <selection activeCell="A2" sqref="A2:I2"/>
    </sheetView>
  </sheetViews>
  <sheetFormatPr baseColWidth="10" defaultRowHeight="15" x14ac:dyDescent="0.25"/>
  <cols>
    <col min="2" max="2" width="47.85546875" bestFit="1" customWidth="1"/>
    <col min="3" max="3" width="14.7109375" customWidth="1"/>
    <col min="4" max="4" width="17" customWidth="1"/>
    <col min="5" max="5" width="17.5703125" customWidth="1"/>
    <col min="6" max="6" width="15.7109375" customWidth="1"/>
    <col min="7" max="7" width="15.140625" customWidth="1"/>
    <col min="8" max="8" width="14.42578125" customWidth="1"/>
  </cols>
  <sheetData>
    <row r="2" spans="1:9" x14ac:dyDescent="0.25">
      <c r="A2" s="288" t="s">
        <v>325</v>
      </c>
      <c r="B2" s="288"/>
      <c r="C2" s="288"/>
      <c r="D2" s="288"/>
      <c r="E2" s="288"/>
      <c r="F2" s="288"/>
      <c r="G2" s="288"/>
      <c r="H2" s="288"/>
      <c r="I2" s="288"/>
    </row>
    <row r="3" spans="1:9" x14ac:dyDescent="0.25">
      <c r="A3" s="287" t="s">
        <v>388</v>
      </c>
      <c r="B3" s="287"/>
      <c r="C3" s="287"/>
      <c r="D3" s="287"/>
      <c r="E3" s="287"/>
      <c r="F3" s="287"/>
      <c r="G3" s="287"/>
      <c r="H3" s="287"/>
      <c r="I3" s="287"/>
    </row>
    <row r="4" spans="1:9" x14ac:dyDescent="0.25">
      <c r="A4" s="194" t="s">
        <v>270</v>
      </c>
      <c r="B4" s="178"/>
      <c r="C4" s="178"/>
      <c r="D4" s="178"/>
      <c r="E4" s="178"/>
      <c r="F4" s="178"/>
      <c r="G4" s="178"/>
      <c r="H4" s="178"/>
      <c r="I4" s="178"/>
    </row>
    <row r="5" spans="1:9" ht="25.5" x14ac:dyDescent="0.25">
      <c r="A5" s="1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3" t="s">
        <v>6</v>
      </c>
      <c r="H5" s="4" t="s">
        <v>7</v>
      </c>
      <c r="I5" s="4" t="s">
        <v>8</v>
      </c>
    </row>
    <row r="6" spans="1:9" x14ac:dyDescent="0.25">
      <c r="A6" s="5" t="s">
        <v>281</v>
      </c>
      <c r="B6" s="6" t="s">
        <v>25</v>
      </c>
      <c r="C6" s="7">
        <f>+C7</f>
        <v>10</v>
      </c>
      <c r="D6" s="7">
        <f>+D7</f>
        <v>0</v>
      </c>
      <c r="E6" s="7">
        <f>+C6-D6</f>
        <v>10</v>
      </c>
      <c r="F6" s="7">
        <f>+F7</f>
        <v>0</v>
      </c>
      <c r="G6" s="7">
        <f>+D6-F6</f>
        <v>0</v>
      </c>
      <c r="H6" s="8">
        <f>+D6/C6</f>
        <v>0</v>
      </c>
      <c r="I6" s="8">
        <f>+F6/C6</f>
        <v>0</v>
      </c>
    </row>
    <row r="7" spans="1:9" x14ac:dyDescent="0.25">
      <c r="A7" s="175" t="s">
        <v>282</v>
      </c>
      <c r="B7" s="176" t="s">
        <v>283</v>
      </c>
      <c r="C7" s="177">
        <f>+C8</f>
        <v>10</v>
      </c>
      <c r="D7" s="177">
        <f>+D8</f>
        <v>0</v>
      </c>
      <c r="E7" s="66">
        <f t="shared" ref="E7:E19" si="0">+C7-D7</f>
        <v>10</v>
      </c>
      <c r="F7" s="177">
        <f>+F8</f>
        <v>0</v>
      </c>
      <c r="G7" s="177">
        <f t="shared" ref="G7:G19" si="1">+D7-F7</f>
        <v>0</v>
      </c>
      <c r="H7" s="27">
        <f t="shared" ref="H7:H19" si="2">+D7/C7</f>
        <v>0</v>
      </c>
      <c r="I7" s="27">
        <f t="shared" ref="I7:I19" si="3">+F7/C7</f>
        <v>0</v>
      </c>
    </row>
    <row r="8" spans="1:9" x14ac:dyDescent="0.25">
      <c r="A8" s="30" t="s">
        <v>286</v>
      </c>
      <c r="B8" s="179" t="s">
        <v>287</v>
      </c>
      <c r="C8" s="9">
        <v>10</v>
      </c>
      <c r="D8" s="9">
        <v>0</v>
      </c>
      <c r="E8" s="65">
        <f t="shared" si="0"/>
        <v>10</v>
      </c>
      <c r="F8" s="9">
        <v>0</v>
      </c>
      <c r="G8" s="9">
        <f t="shared" si="1"/>
        <v>0</v>
      </c>
      <c r="H8" s="10">
        <f t="shared" si="2"/>
        <v>0</v>
      </c>
      <c r="I8" s="10">
        <f t="shared" si="3"/>
        <v>0</v>
      </c>
    </row>
    <row r="9" spans="1:9" x14ac:dyDescent="0.25">
      <c r="A9" s="172" t="s">
        <v>326</v>
      </c>
      <c r="B9" s="173" t="s">
        <v>327</v>
      </c>
      <c r="C9" s="174">
        <f>+C10</f>
        <v>11</v>
      </c>
      <c r="D9" s="174">
        <f>+D10</f>
        <v>14620</v>
      </c>
      <c r="E9" s="7">
        <f t="shared" si="0"/>
        <v>-14609</v>
      </c>
      <c r="F9" s="174">
        <f>+F10</f>
        <v>14620</v>
      </c>
      <c r="G9" s="174">
        <f t="shared" si="1"/>
        <v>0</v>
      </c>
      <c r="H9" s="8">
        <f t="shared" si="2"/>
        <v>1329.090909090909</v>
      </c>
      <c r="I9" s="8">
        <f t="shared" si="3"/>
        <v>1329.090909090909</v>
      </c>
    </row>
    <row r="10" spans="1:9" x14ac:dyDescent="0.25">
      <c r="A10" s="30" t="s">
        <v>328</v>
      </c>
      <c r="B10" s="179" t="s">
        <v>329</v>
      </c>
      <c r="C10" s="9">
        <v>11</v>
      </c>
      <c r="D10" s="9">
        <v>14620</v>
      </c>
      <c r="E10" s="65">
        <f t="shared" si="0"/>
        <v>-14609</v>
      </c>
      <c r="F10" s="9">
        <v>14620</v>
      </c>
      <c r="G10" s="9">
        <f t="shared" si="1"/>
        <v>0</v>
      </c>
      <c r="H10" s="10">
        <f t="shared" si="2"/>
        <v>1329.090909090909</v>
      </c>
      <c r="I10" s="10">
        <f t="shared" si="3"/>
        <v>1329.090909090909</v>
      </c>
    </row>
    <row r="11" spans="1:9" x14ac:dyDescent="0.25">
      <c r="A11" s="172" t="s">
        <v>290</v>
      </c>
      <c r="B11" s="173" t="s">
        <v>291</v>
      </c>
      <c r="C11" s="174">
        <f>SUM(C12:C14)</f>
        <v>226</v>
      </c>
      <c r="D11" s="174">
        <f>SUM(D12:D14)</f>
        <v>32514</v>
      </c>
      <c r="E11" s="7">
        <f t="shared" si="0"/>
        <v>-32288</v>
      </c>
      <c r="F11" s="174">
        <f>SUM(F12:F14)</f>
        <v>32514</v>
      </c>
      <c r="G11" s="174">
        <f t="shared" si="1"/>
        <v>0</v>
      </c>
      <c r="H11" s="8">
        <f t="shared" si="2"/>
        <v>143.86725663716814</v>
      </c>
      <c r="I11" s="8">
        <f t="shared" si="3"/>
        <v>143.86725663716814</v>
      </c>
    </row>
    <row r="12" spans="1:9" x14ac:dyDescent="0.25">
      <c r="A12" s="30" t="s">
        <v>292</v>
      </c>
      <c r="B12" s="179" t="s">
        <v>293</v>
      </c>
      <c r="C12" s="9">
        <v>10</v>
      </c>
      <c r="D12" s="9">
        <v>30136</v>
      </c>
      <c r="E12" s="65">
        <f t="shared" si="0"/>
        <v>-30126</v>
      </c>
      <c r="F12" s="9">
        <v>30136</v>
      </c>
      <c r="G12" s="9">
        <f t="shared" si="1"/>
        <v>0</v>
      </c>
      <c r="H12" s="10">
        <f t="shared" si="2"/>
        <v>3013.6</v>
      </c>
      <c r="I12" s="10">
        <f t="shared" si="3"/>
        <v>3013.6</v>
      </c>
    </row>
    <row r="13" spans="1:9" x14ac:dyDescent="0.25">
      <c r="A13" s="30" t="s">
        <v>294</v>
      </c>
      <c r="B13" s="179" t="s">
        <v>295</v>
      </c>
      <c r="C13" s="9">
        <v>10</v>
      </c>
      <c r="D13" s="9">
        <v>173</v>
      </c>
      <c r="E13" s="65">
        <f t="shared" si="0"/>
        <v>-163</v>
      </c>
      <c r="F13" s="9">
        <v>173</v>
      </c>
      <c r="G13" s="9">
        <f t="shared" si="1"/>
        <v>0</v>
      </c>
      <c r="H13" s="10">
        <f t="shared" si="2"/>
        <v>17.3</v>
      </c>
      <c r="I13" s="10">
        <f t="shared" si="3"/>
        <v>17.3</v>
      </c>
    </row>
    <row r="14" spans="1:9" x14ac:dyDescent="0.25">
      <c r="A14" s="30" t="s">
        <v>296</v>
      </c>
      <c r="B14" s="179" t="s">
        <v>297</v>
      </c>
      <c r="C14" s="9">
        <v>206</v>
      </c>
      <c r="D14" s="9">
        <v>2205</v>
      </c>
      <c r="E14" s="65">
        <f t="shared" si="0"/>
        <v>-1999</v>
      </c>
      <c r="F14" s="9">
        <v>2205</v>
      </c>
      <c r="G14" s="9">
        <f t="shared" si="1"/>
        <v>0</v>
      </c>
      <c r="H14" s="10">
        <f t="shared" si="2"/>
        <v>10.703883495145631</v>
      </c>
      <c r="I14" s="10">
        <f t="shared" si="3"/>
        <v>10.703883495145631</v>
      </c>
    </row>
    <row r="15" spans="1:9" x14ac:dyDescent="0.25">
      <c r="A15" s="172" t="s">
        <v>271</v>
      </c>
      <c r="B15" s="173" t="s">
        <v>272</v>
      </c>
      <c r="C15" s="174">
        <f>+C16</f>
        <v>3211717</v>
      </c>
      <c r="D15" s="174">
        <f>+D16</f>
        <v>2997891</v>
      </c>
      <c r="E15" s="7">
        <f t="shared" si="0"/>
        <v>213826</v>
      </c>
      <c r="F15" s="174">
        <f>+F16</f>
        <v>2997891</v>
      </c>
      <c r="G15" s="174">
        <f t="shared" si="1"/>
        <v>0</v>
      </c>
      <c r="H15" s="8">
        <f t="shared" si="2"/>
        <v>0.93342315029624345</v>
      </c>
      <c r="I15" s="8">
        <f t="shared" si="3"/>
        <v>0.93342315029624345</v>
      </c>
    </row>
    <row r="16" spans="1:9" x14ac:dyDescent="0.25">
      <c r="A16" s="175" t="s">
        <v>273</v>
      </c>
      <c r="B16" s="176" t="s">
        <v>274</v>
      </c>
      <c r="C16" s="177">
        <f>+C17+C18</f>
        <v>3211717</v>
      </c>
      <c r="D16" s="177">
        <f>+D17+D18</f>
        <v>2997891</v>
      </c>
      <c r="E16" s="66">
        <f t="shared" si="0"/>
        <v>213826</v>
      </c>
      <c r="F16" s="177">
        <f>+F17+F18</f>
        <v>2997891</v>
      </c>
      <c r="G16" s="177">
        <f t="shared" si="1"/>
        <v>0</v>
      </c>
      <c r="H16" s="27">
        <f t="shared" si="2"/>
        <v>0.93342315029624345</v>
      </c>
      <c r="I16" s="27">
        <f t="shared" si="3"/>
        <v>0.93342315029624345</v>
      </c>
    </row>
    <row r="17" spans="1:9" x14ac:dyDescent="0.25">
      <c r="A17" s="30" t="s">
        <v>275</v>
      </c>
      <c r="B17" s="179" t="s">
        <v>276</v>
      </c>
      <c r="C17" s="9">
        <v>1528637</v>
      </c>
      <c r="D17" s="9">
        <v>1521456</v>
      </c>
      <c r="E17" s="65">
        <f t="shared" si="0"/>
        <v>7181</v>
      </c>
      <c r="F17" s="9">
        <v>1521456</v>
      </c>
      <c r="G17" s="9">
        <f t="shared" si="1"/>
        <v>0</v>
      </c>
      <c r="H17" s="10">
        <f t="shared" si="2"/>
        <v>0.99530235104867937</v>
      </c>
      <c r="I17" s="10">
        <f t="shared" si="3"/>
        <v>0.99530235104867937</v>
      </c>
    </row>
    <row r="18" spans="1:9" x14ac:dyDescent="0.25">
      <c r="A18" s="30" t="s">
        <v>277</v>
      </c>
      <c r="B18" s="179" t="s">
        <v>278</v>
      </c>
      <c r="C18" s="9">
        <v>1683080</v>
      </c>
      <c r="D18" s="9">
        <v>1476435</v>
      </c>
      <c r="E18" s="65">
        <f t="shared" si="0"/>
        <v>206645</v>
      </c>
      <c r="F18" s="9">
        <v>1476435</v>
      </c>
      <c r="G18" s="9">
        <f t="shared" si="1"/>
        <v>0</v>
      </c>
      <c r="H18" s="10">
        <f t="shared" si="2"/>
        <v>0.87722211659576488</v>
      </c>
      <c r="I18" s="10">
        <f t="shared" si="3"/>
        <v>0.87722211659576488</v>
      </c>
    </row>
    <row r="19" spans="1:9" x14ac:dyDescent="0.25">
      <c r="A19" s="180" t="s">
        <v>279</v>
      </c>
      <c r="B19" s="181" t="s">
        <v>280</v>
      </c>
      <c r="C19" s="174">
        <v>53591</v>
      </c>
      <c r="D19" s="174">
        <v>0</v>
      </c>
      <c r="E19" s="13">
        <f t="shared" si="0"/>
        <v>53591</v>
      </c>
      <c r="F19" s="174">
        <v>0</v>
      </c>
      <c r="G19" s="174">
        <f t="shared" si="1"/>
        <v>0</v>
      </c>
      <c r="H19" s="8">
        <f t="shared" si="2"/>
        <v>0</v>
      </c>
      <c r="I19" s="8">
        <f t="shared" si="3"/>
        <v>0</v>
      </c>
    </row>
    <row r="20" spans="1:9" x14ac:dyDescent="0.25">
      <c r="A20" s="91"/>
      <c r="B20" s="182" t="s">
        <v>22</v>
      </c>
      <c r="C20" s="183">
        <f>+C6+C9+C11+C15+C19</f>
        <v>3265555</v>
      </c>
      <c r="D20" s="183">
        <f t="shared" ref="D20:G20" si="4">+D6+D9+D11+D15+D19</f>
        <v>3045025</v>
      </c>
      <c r="E20" s="183">
        <f t="shared" si="4"/>
        <v>220530</v>
      </c>
      <c r="F20" s="183">
        <f t="shared" si="4"/>
        <v>3045025</v>
      </c>
      <c r="G20" s="183">
        <f t="shared" si="4"/>
        <v>0</v>
      </c>
      <c r="H20" s="21">
        <f>+D20/C20</f>
        <v>0.93246783471722261</v>
      </c>
      <c r="I20" s="21">
        <f>+F20/C20</f>
        <v>0.93246783471722261</v>
      </c>
    </row>
    <row r="21" spans="1:9" x14ac:dyDescent="0.25">
      <c r="A21" s="178"/>
      <c r="B21" s="178"/>
      <c r="C21" s="178"/>
      <c r="D21" s="178"/>
      <c r="E21" s="178"/>
      <c r="F21" s="178"/>
      <c r="G21" s="178"/>
      <c r="H21" s="178"/>
      <c r="I21" s="178"/>
    </row>
    <row r="22" spans="1:9" x14ac:dyDescent="0.25">
      <c r="A22" s="194" t="s">
        <v>320</v>
      </c>
      <c r="B22" s="178"/>
      <c r="C22" s="178"/>
      <c r="D22" s="178"/>
      <c r="E22" s="178"/>
      <c r="F22" s="178"/>
      <c r="G22" s="178"/>
      <c r="H22" s="178"/>
      <c r="I22" s="178"/>
    </row>
    <row r="23" spans="1:9" ht="25.5" x14ac:dyDescent="0.25">
      <c r="A23" s="1" t="s">
        <v>0</v>
      </c>
      <c r="B23" s="2" t="s">
        <v>1</v>
      </c>
      <c r="C23" s="2" t="s">
        <v>2</v>
      </c>
      <c r="D23" s="2" t="s">
        <v>3</v>
      </c>
      <c r="E23" s="2" t="s">
        <v>4</v>
      </c>
      <c r="F23" s="2" t="s">
        <v>5</v>
      </c>
      <c r="G23" s="3" t="s">
        <v>6</v>
      </c>
      <c r="H23" s="4" t="s">
        <v>7</v>
      </c>
      <c r="I23" s="4" t="s">
        <v>8</v>
      </c>
    </row>
    <row r="24" spans="1:9" x14ac:dyDescent="0.25">
      <c r="A24" s="5">
        <v>21</v>
      </c>
      <c r="B24" s="6" t="s">
        <v>9</v>
      </c>
      <c r="C24" s="7">
        <f>SUM(C25:C30)</f>
        <v>1528637</v>
      </c>
      <c r="D24" s="7">
        <f>SUM(D25:D30)</f>
        <v>1523061</v>
      </c>
      <c r="E24" s="7">
        <f>SUM(E25:E30)</f>
        <v>7076</v>
      </c>
      <c r="F24" s="7">
        <f>SUM(F25:F30)</f>
        <v>1523061</v>
      </c>
      <c r="G24" s="7">
        <f t="shared" ref="G24" si="5">SUM(G25:G30)</f>
        <v>0</v>
      </c>
      <c r="H24" s="8">
        <f>+D24/C24</f>
        <v>0.99635230600855529</v>
      </c>
      <c r="I24" s="8">
        <f>+F24/C24</f>
        <v>0.99635230600855529</v>
      </c>
    </row>
    <row r="25" spans="1:9" x14ac:dyDescent="0.25">
      <c r="A25" s="5"/>
      <c r="B25" s="189" t="s">
        <v>308</v>
      </c>
      <c r="C25" s="9">
        <f>1528637-SUM(C26:C30)</f>
        <v>1402696</v>
      </c>
      <c r="D25" s="9">
        <f>1523061-SUM(D26:D30)</f>
        <v>1439101</v>
      </c>
      <c r="E25" s="9">
        <f t="shared" ref="E25:E44" si="6">+C25-D25</f>
        <v>-36405</v>
      </c>
      <c r="F25" s="9">
        <f>1523061-SUM(F26:F30)</f>
        <v>1439983</v>
      </c>
      <c r="G25" s="9">
        <f t="shared" ref="G25:G44" si="7">+D25-F25</f>
        <v>-882</v>
      </c>
      <c r="H25" s="10">
        <f t="shared" ref="H25:H46" si="8">+D25/C25</f>
        <v>1.0259535922252576</v>
      </c>
      <c r="I25" s="10">
        <f t="shared" ref="I25:I46" si="9">+F25/C25</f>
        <v>1.0265823813570438</v>
      </c>
    </row>
    <row r="26" spans="1:9" x14ac:dyDescent="0.25">
      <c r="A26" s="5"/>
      <c r="B26" s="189" t="s">
        <v>309</v>
      </c>
      <c r="C26" s="9">
        <v>50165</v>
      </c>
      <c r="D26" s="9">
        <v>49281</v>
      </c>
      <c r="E26" s="9">
        <f t="shared" si="6"/>
        <v>884</v>
      </c>
      <c r="F26" s="9">
        <v>49281</v>
      </c>
      <c r="G26" s="9">
        <f t="shared" si="7"/>
        <v>0</v>
      </c>
      <c r="H26" s="10">
        <f t="shared" si="8"/>
        <v>0.98237815209807633</v>
      </c>
      <c r="I26" s="10">
        <f t="shared" si="9"/>
        <v>0.98237815209807633</v>
      </c>
    </row>
    <row r="27" spans="1:9" x14ac:dyDescent="0.25">
      <c r="A27" s="5"/>
      <c r="B27" s="189" t="s">
        <v>310</v>
      </c>
      <c r="C27" s="9">
        <v>1506</v>
      </c>
      <c r="D27" s="9">
        <v>1503</v>
      </c>
      <c r="E27" s="9">
        <v>1503</v>
      </c>
      <c r="F27" s="9">
        <v>621</v>
      </c>
      <c r="G27" s="9">
        <f t="shared" si="7"/>
        <v>882</v>
      </c>
      <c r="H27" s="10">
        <f t="shared" si="8"/>
        <v>0.99800796812749004</v>
      </c>
      <c r="I27" s="10">
        <f t="shared" si="9"/>
        <v>0.41235059760956178</v>
      </c>
    </row>
    <row r="28" spans="1:9" x14ac:dyDescent="0.25">
      <c r="A28" s="5"/>
      <c r="B28" s="189" t="s">
        <v>311</v>
      </c>
      <c r="C28" s="9">
        <v>6386</v>
      </c>
      <c r="D28" s="9">
        <v>4718</v>
      </c>
      <c r="E28" s="9">
        <f t="shared" si="6"/>
        <v>1668</v>
      </c>
      <c r="F28" s="9">
        <v>4718</v>
      </c>
      <c r="G28" s="9">
        <f t="shared" si="7"/>
        <v>0</v>
      </c>
      <c r="H28" s="10">
        <f t="shared" si="8"/>
        <v>0.73880363294707174</v>
      </c>
      <c r="I28" s="10">
        <f t="shared" si="9"/>
        <v>0.73880363294707174</v>
      </c>
    </row>
    <row r="29" spans="1:9" x14ac:dyDescent="0.25">
      <c r="A29" s="5"/>
      <c r="B29" s="189" t="s">
        <v>312</v>
      </c>
      <c r="C29" s="9">
        <v>2003</v>
      </c>
      <c r="D29" s="9">
        <v>2003</v>
      </c>
      <c r="E29" s="9">
        <f t="shared" si="6"/>
        <v>0</v>
      </c>
      <c r="F29" s="9">
        <v>2003</v>
      </c>
      <c r="G29" s="9">
        <f t="shared" si="7"/>
        <v>0</v>
      </c>
      <c r="H29" s="10">
        <f t="shared" si="8"/>
        <v>1</v>
      </c>
      <c r="I29" s="10">
        <f t="shared" si="9"/>
        <v>1</v>
      </c>
    </row>
    <row r="30" spans="1:9" x14ac:dyDescent="0.25">
      <c r="A30" s="5"/>
      <c r="B30" s="189" t="s">
        <v>313</v>
      </c>
      <c r="C30" s="9">
        <v>65881</v>
      </c>
      <c r="D30" s="9">
        <v>26455</v>
      </c>
      <c r="E30" s="9">
        <f t="shared" si="6"/>
        <v>39426</v>
      </c>
      <c r="F30" s="9">
        <v>26455</v>
      </c>
      <c r="G30" s="9">
        <f t="shared" si="7"/>
        <v>0</v>
      </c>
      <c r="H30" s="10">
        <f t="shared" si="8"/>
        <v>0.40155735340993609</v>
      </c>
      <c r="I30" s="10">
        <f t="shared" si="9"/>
        <v>0.40155735340993609</v>
      </c>
    </row>
    <row r="31" spans="1:9" x14ac:dyDescent="0.25">
      <c r="A31" s="5">
        <v>22</v>
      </c>
      <c r="B31" s="195" t="s">
        <v>10</v>
      </c>
      <c r="C31" s="7">
        <v>1201121</v>
      </c>
      <c r="D31" s="7">
        <v>1200510</v>
      </c>
      <c r="E31" s="196">
        <f t="shared" si="6"/>
        <v>611</v>
      </c>
      <c r="F31" s="7">
        <v>1200510</v>
      </c>
      <c r="G31" s="197">
        <f t="shared" si="7"/>
        <v>0</v>
      </c>
      <c r="H31" s="8">
        <f t="shared" si="8"/>
        <v>0.9994913085359427</v>
      </c>
      <c r="I31" s="8">
        <f t="shared" si="9"/>
        <v>0.9994913085359427</v>
      </c>
    </row>
    <row r="32" spans="1:9" x14ac:dyDescent="0.25">
      <c r="A32" s="5" t="s">
        <v>330</v>
      </c>
      <c r="B32" s="12" t="s">
        <v>25</v>
      </c>
      <c r="C32" s="13">
        <f>+C33+C35+C37</f>
        <v>195166</v>
      </c>
      <c r="D32" s="13">
        <f>+D33+D35+D37</f>
        <v>192591</v>
      </c>
      <c r="E32" s="13">
        <f t="shared" si="6"/>
        <v>2575</v>
      </c>
      <c r="F32" s="13">
        <f>+F33+F35+F37</f>
        <v>192591</v>
      </c>
      <c r="G32" s="197">
        <f t="shared" si="7"/>
        <v>0</v>
      </c>
      <c r="H32" s="8">
        <f t="shared" si="8"/>
        <v>0.98680610352212983</v>
      </c>
      <c r="I32" s="8">
        <f t="shared" si="9"/>
        <v>0.98680610352212983</v>
      </c>
    </row>
    <row r="33" spans="1:9" s="28" customFormat="1" x14ac:dyDescent="0.25">
      <c r="A33" s="198" t="s">
        <v>26</v>
      </c>
      <c r="B33" s="199" t="s">
        <v>27</v>
      </c>
      <c r="C33" s="26">
        <f>+C34</f>
        <v>10630</v>
      </c>
      <c r="D33" s="26">
        <f>+D34</f>
        <v>10511</v>
      </c>
      <c r="E33" s="26">
        <f t="shared" si="6"/>
        <v>119</v>
      </c>
      <c r="F33" s="26">
        <f>+F34</f>
        <v>10511</v>
      </c>
      <c r="G33" s="200">
        <f t="shared" si="7"/>
        <v>0</v>
      </c>
      <c r="H33" s="27">
        <f t="shared" si="8"/>
        <v>0.98880526810912517</v>
      </c>
      <c r="I33" s="27">
        <f t="shared" si="9"/>
        <v>0.98880526810912517</v>
      </c>
    </row>
    <row r="34" spans="1:9" x14ac:dyDescent="0.25">
      <c r="A34" s="201" t="s">
        <v>331</v>
      </c>
      <c r="B34" s="144" t="s">
        <v>332</v>
      </c>
      <c r="C34" s="15">
        <v>10630</v>
      </c>
      <c r="D34" s="15">
        <v>10511</v>
      </c>
      <c r="E34" s="15">
        <f t="shared" si="6"/>
        <v>119</v>
      </c>
      <c r="F34" s="15">
        <v>10511</v>
      </c>
      <c r="G34" s="17">
        <f t="shared" si="7"/>
        <v>0</v>
      </c>
      <c r="H34" s="10">
        <f t="shared" si="8"/>
        <v>0.98880526810912517</v>
      </c>
      <c r="I34" s="10">
        <f t="shared" si="9"/>
        <v>0.98880526810912517</v>
      </c>
    </row>
    <row r="35" spans="1:9" x14ac:dyDescent="0.25">
      <c r="A35" s="198" t="s">
        <v>48</v>
      </c>
      <c r="B35" s="199" t="s">
        <v>49</v>
      </c>
      <c r="C35" s="26">
        <f>+C36</f>
        <v>159450</v>
      </c>
      <c r="D35" s="26">
        <f>+D36</f>
        <v>158252</v>
      </c>
      <c r="E35" s="26">
        <f t="shared" si="6"/>
        <v>1198</v>
      </c>
      <c r="F35" s="26">
        <f>+F36</f>
        <v>158252</v>
      </c>
      <c r="G35" s="200">
        <f t="shared" si="7"/>
        <v>0</v>
      </c>
      <c r="H35" s="27">
        <f t="shared" si="8"/>
        <v>0.99248667293822512</v>
      </c>
      <c r="I35" s="27">
        <f t="shared" si="9"/>
        <v>0.99248667293822512</v>
      </c>
    </row>
    <row r="36" spans="1:9" x14ac:dyDescent="0.25">
      <c r="A36" s="201" t="s">
        <v>333</v>
      </c>
      <c r="B36" s="144" t="s">
        <v>334</v>
      </c>
      <c r="C36" s="15">
        <v>159450</v>
      </c>
      <c r="D36" s="15">
        <v>158252</v>
      </c>
      <c r="E36" s="15">
        <f t="shared" si="6"/>
        <v>1198</v>
      </c>
      <c r="F36" s="15">
        <v>158252</v>
      </c>
      <c r="G36" s="17">
        <f t="shared" si="7"/>
        <v>0</v>
      </c>
      <c r="H36" s="10">
        <f t="shared" si="8"/>
        <v>0.99248667293822512</v>
      </c>
      <c r="I36" s="10">
        <f t="shared" si="9"/>
        <v>0.99248667293822512</v>
      </c>
    </row>
    <row r="37" spans="1:9" s="28" customFormat="1" x14ac:dyDescent="0.25">
      <c r="A37" s="198" t="s">
        <v>111</v>
      </c>
      <c r="B37" s="199" t="s">
        <v>112</v>
      </c>
      <c r="C37" s="26">
        <f>+C38</f>
        <v>25086</v>
      </c>
      <c r="D37" s="26">
        <f>+D38</f>
        <v>23828</v>
      </c>
      <c r="E37" s="26">
        <f t="shared" si="6"/>
        <v>1258</v>
      </c>
      <c r="F37" s="26">
        <f>+F38</f>
        <v>23828</v>
      </c>
      <c r="G37" s="200">
        <f t="shared" si="7"/>
        <v>0</v>
      </c>
      <c r="H37" s="27">
        <f t="shared" si="8"/>
        <v>0.94985250737463123</v>
      </c>
      <c r="I37" s="27">
        <f t="shared" si="9"/>
        <v>0.94985250737463123</v>
      </c>
    </row>
    <row r="38" spans="1:9" x14ac:dyDescent="0.25">
      <c r="A38" s="201" t="s">
        <v>114</v>
      </c>
      <c r="B38" s="144" t="s">
        <v>115</v>
      </c>
      <c r="C38" s="15">
        <v>25086</v>
      </c>
      <c r="D38" s="15">
        <v>23828</v>
      </c>
      <c r="E38" s="15">
        <f t="shared" si="6"/>
        <v>1258</v>
      </c>
      <c r="F38" s="15">
        <v>23828</v>
      </c>
      <c r="G38" s="17">
        <f t="shared" si="7"/>
        <v>0</v>
      </c>
      <c r="H38" s="10">
        <f t="shared" si="8"/>
        <v>0.94985250737463123</v>
      </c>
      <c r="I38" s="10">
        <f t="shared" si="9"/>
        <v>0.94985250737463123</v>
      </c>
    </row>
    <row r="39" spans="1:9" x14ac:dyDescent="0.25">
      <c r="A39" s="202" t="s">
        <v>170</v>
      </c>
      <c r="B39" s="12" t="s">
        <v>63</v>
      </c>
      <c r="C39" s="13">
        <v>120236</v>
      </c>
      <c r="D39" s="13">
        <v>120205</v>
      </c>
      <c r="E39" s="13">
        <f>+C39-D39</f>
        <v>31</v>
      </c>
      <c r="F39" s="13">
        <v>120205</v>
      </c>
      <c r="G39" s="13">
        <f>+D39-F39</f>
        <v>0</v>
      </c>
      <c r="H39" s="8">
        <f t="shared" si="8"/>
        <v>0.99974217372500751</v>
      </c>
      <c r="I39" s="8">
        <f t="shared" si="9"/>
        <v>0.99974217372500751</v>
      </c>
    </row>
    <row r="40" spans="1:9" x14ac:dyDescent="0.25">
      <c r="A40" s="202">
        <v>29</v>
      </c>
      <c r="B40" s="12" t="s">
        <v>11</v>
      </c>
      <c r="C40" s="13">
        <f>SUM(C41:C44)</f>
        <v>62122</v>
      </c>
      <c r="D40" s="13">
        <f t="shared" ref="D40:G40" si="10">SUM(D41:D44)</f>
        <v>59104</v>
      </c>
      <c r="E40" s="13">
        <f t="shared" si="10"/>
        <v>3018</v>
      </c>
      <c r="F40" s="13">
        <f t="shared" si="10"/>
        <v>59104</v>
      </c>
      <c r="G40" s="13">
        <f t="shared" si="10"/>
        <v>0</v>
      </c>
      <c r="H40" s="8">
        <f t="shared" si="8"/>
        <v>0.9514181771353144</v>
      </c>
      <c r="I40" s="8">
        <f t="shared" si="9"/>
        <v>0.9514181771353144</v>
      </c>
    </row>
    <row r="41" spans="1:9" hidden="1" x14ac:dyDescent="0.25">
      <c r="A41" s="16" t="s">
        <v>14</v>
      </c>
      <c r="B41" s="14" t="s">
        <v>15</v>
      </c>
      <c r="C41" s="17">
        <v>0</v>
      </c>
      <c r="D41" s="17">
        <v>0</v>
      </c>
      <c r="E41" s="17">
        <f t="shared" si="6"/>
        <v>0</v>
      </c>
      <c r="F41" s="17">
        <v>0</v>
      </c>
      <c r="G41" s="17">
        <f t="shared" si="7"/>
        <v>0</v>
      </c>
      <c r="H41" s="10" t="e">
        <f t="shared" si="8"/>
        <v>#DIV/0!</v>
      </c>
      <c r="I41" s="10" t="e">
        <f t="shared" si="9"/>
        <v>#DIV/0!</v>
      </c>
    </row>
    <row r="42" spans="1:9" hidden="1" x14ac:dyDescent="0.25">
      <c r="A42" s="16" t="s">
        <v>16</v>
      </c>
      <c r="B42" s="14" t="s">
        <v>17</v>
      </c>
      <c r="C42" s="17">
        <v>0</v>
      </c>
      <c r="D42" s="17">
        <v>0</v>
      </c>
      <c r="E42" s="17">
        <f t="shared" si="6"/>
        <v>0</v>
      </c>
      <c r="F42" s="17">
        <v>0</v>
      </c>
      <c r="G42" s="17">
        <f t="shared" si="7"/>
        <v>0</v>
      </c>
      <c r="H42" s="10" t="e">
        <f t="shared" si="8"/>
        <v>#DIV/0!</v>
      </c>
      <c r="I42" s="10" t="e">
        <f t="shared" si="9"/>
        <v>#DIV/0!</v>
      </c>
    </row>
    <row r="43" spans="1:9" x14ac:dyDescent="0.25">
      <c r="A43" s="16" t="s">
        <v>18</v>
      </c>
      <c r="B43" s="18" t="s">
        <v>19</v>
      </c>
      <c r="C43" s="15">
        <v>1132</v>
      </c>
      <c r="D43" s="15">
        <v>905</v>
      </c>
      <c r="E43" s="15">
        <f t="shared" si="6"/>
        <v>227</v>
      </c>
      <c r="F43" s="15">
        <v>905</v>
      </c>
      <c r="G43" s="15">
        <f t="shared" si="7"/>
        <v>0</v>
      </c>
      <c r="H43" s="10">
        <f t="shared" si="8"/>
        <v>0.79946996466431097</v>
      </c>
      <c r="I43" s="10">
        <f t="shared" si="9"/>
        <v>0.79946996466431097</v>
      </c>
    </row>
    <row r="44" spans="1:9" x14ac:dyDescent="0.25">
      <c r="A44" s="16" t="s">
        <v>20</v>
      </c>
      <c r="B44" s="18" t="s">
        <v>21</v>
      </c>
      <c r="C44" s="15">
        <v>60990</v>
      </c>
      <c r="D44" s="15">
        <v>58199</v>
      </c>
      <c r="E44" s="15">
        <f t="shared" si="6"/>
        <v>2791</v>
      </c>
      <c r="F44" s="15">
        <v>58199</v>
      </c>
      <c r="G44" s="15">
        <f t="shared" si="7"/>
        <v>0</v>
      </c>
      <c r="H44" s="10">
        <f t="shared" si="8"/>
        <v>0.95423839973766189</v>
      </c>
      <c r="I44" s="10">
        <f t="shared" si="9"/>
        <v>0.95423839973766189</v>
      </c>
    </row>
    <row r="45" spans="1:9" x14ac:dyDescent="0.25">
      <c r="A45" s="202">
        <v>34</v>
      </c>
      <c r="B45" s="12" t="s">
        <v>70</v>
      </c>
      <c r="C45" s="13">
        <f>C46</f>
        <v>158273</v>
      </c>
      <c r="D45" s="13">
        <f t="shared" ref="D45:G45" si="11">D46</f>
        <v>158272</v>
      </c>
      <c r="E45" s="13">
        <f t="shared" si="11"/>
        <v>1</v>
      </c>
      <c r="F45" s="13">
        <f t="shared" si="11"/>
        <v>158272</v>
      </c>
      <c r="G45" s="13">
        <f t="shared" si="11"/>
        <v>0</v>
      </c>
      <c r="H45" s="8">
        <f t="shared" si="8"/>
        <v>0.99999368180296067</v>
      </c>
      <c r="I45" s="8">
        <f t="shared" si="9"/>
        <v>0.99999368180296067</v>
      </c>
    </row>
    <row r="46" spans="1:9" x14ac:dyDescent="0.25">
      <c r="A46" s="16" t="s">
        <v>71</v>
      </c>
      <c r="B46" s="18" t="s">
        <v>72</v>
      </c>
      <c r="C46" s="15">
        <v>158273</v>
      </c>
      <c r="D46" s="15">
        <v>158272</v>
      </c>
      <c r="E46" s="15">
        <f>+C46-D46</f>
        <v>1</v>
      </c>
      <c r="F46" s="15">
        <v>158272</v>
      </c>
      <c r="G46" s="15">
        <f>+D46-F46</f>
        <v>0</v>
      </c>
      <c r="H46" s="10">
        <f t="shared" si="8"/>
        <v>0.99999368180296067</v>
      </c>
      <c r="I46" s="10">
        <f t="shared" si="9"/>
        <v>0.99999368180296067</v>
      </c>
    </row>
    <row r="47" spans="1:9" x14ac:dyDescent="0.25">
      <c r="A47" s="203"/>
      <c r="B47" s="204" t="s">
        <v>22</v>
      </c>
      <c r="C47" s="20">
        <f>+C24+C31+C32+C39+C40+C45</f>
        <v>3265555</v>
      </c>
      <c r="D47" s="20">
        <f t="shared" ref="D47:G47" si="12">+D24+D31+D32+D39+D40+D45</f>
        <v>3253743</v>
      </c>
      <c r="E47" s="20">
        <f t="shared" si="12"/>
        <v>13312</v>
      </c>
      <c r="F47" s="20">
        <f t="shared" si="12"/>
        <v>3253743</v>
      </c>
      <c r="G47" s="20">
        <f t="shared" si="12"/>
        <v>0</v>
      </c>
      <c r="H47" s="21">
        <f>+D47/C47</f>
        <v>0.99638285069459864</v>
      </c>
      <c r="I47" s="21">
        <f>+F47/C47</f>
        <v>0.99638285069459864</v>
      </c>
    </row>
    <row r="48" spans="1:9" x14ac:dyDescent="0.25">
      <c r="C48" s="63"/>
      <c r="D48" s="63"/>
      <c r="E48" s="63"/>
      <c r="F48" s="63"/>
      <c r="G48" s="63"/>
      <c r="H48" s="63"/>
    </row>
  </sheetData>
  <mergeCells count="2">
    <mergeCell ref="A2:I2"/>
    <mergeCell ref="A3:I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</sheetPr>
  <dimension ref="A2:R136"/>
  <sheetViews>
    <sheetView zoomScale="90" zoomScaleNormal="90" workbookViewId="0">
      <selection activeCell="A2" sqref="A2:I2"/>
    </sheetView>
  </sheetViews>
  <sheetFormatPr baseColWidth="10" defaultRowHeight="15" outlineLevelRow="1" x14ac:dyDescent="0.25"/>
  <cols>
    <col min="1" max="1" width="11.42578125" style="206"/>
    <col min="2" max="2" width="47.85546875" style="205" customWidth="1"/>
    <col min="3" max="3" width="15.140625" style="205" customWidth="1"/>
    <col min="4" max="4" width="14.7109375" style="205" customWidth="1"/>
    <col min="5" max="5" width="16.42578125" style="205" customWidth="1"/>
    <col min="6" max="6" width="14.5703125" style="205" customWidth="1"/>
    <col min="7" max="7" width="15.7109375" style="205" customWidth="1"/>
    <col min="8" max="8" width="13" style="205" customWidth="1"/>
    <col min="9" max="9" width="11.28515625" style="205" customWidth="1"/>
    <col min="10" max="11" width="11.42578125" style="205" customWidth="1"/>
    <col min="12" max="12" width="10.28515625" style="205" customWidth="1"/>
    <col min="13" max="13" width="11.28515625" style="205" customWidth="1"/>
    <col min="14" max="18" width="11.42578125" style="205" customWidth="1"/>
    <col min="19" max="16384" width="11.42578125" style="205"/>
  </cols>
  <sheetData>
    <row r="2" spans="1:9" x14ac:dyDescent="0.25">
      <c r="A2" s="292" t="s">
        <v>335</v>
      </c>
      <c r="B2" s="292"/>
      <c r="C2" s="292"/>
      <c r="D2" s="292"/>
      <c r="E2" s="292"/>
      <c r="F2" s="292"/>
      <c r="G2" s="292"/>
      <c r="H2" s="292"/>
      <c r="I2" s="292"/>
    </row>
    <row r="3" spans="1:9" x14ac:dyDescent="0.25">
      <c r="A3" s="293" t="s">
        <v>388</v>
      </c>
      <c r="B3" s="293"/>
      <c r="C3" s="293"/>
      <c r="D3" s="293"/>
      <c r="E3" s="293"/>
      <c r="F3" s="293"/>
      <c r="G3" s="293"/>
      <c r="H3" s="293"/>
      <c r="I3" s="293"/>
    </row>
    <row r="4" spans="1:9" x14ac:dyDescent="0.25">
      <c r="A4" s="171" t="s">
        <v>270</v>
      </c>
      <c r="B4"/>
      <c r="C4"/>
      <c r="D4"/>
      <c r="E4"/>
      <c r="F4"/>
      <c r="G4"/>
      <c r="H4"/>
      <c r="I4"/>
    </row>
    <row r="5" spans="1:9" ht="25.5" x14ac:dyDescent="0.25">
      <c r="A5" s="1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3" t="s">
        <v>6</v>
      </c>
      <c r="H5" s="4" t="s">
        <v>7</v>
      </c>
      <c r="I5" s="4" t="s">
        <v>8</v>
      </c>
    </row>
    <row r="6" spans="1:9" x14ac:dyDescent="0.25">
      <c r="A6" s="5" t="s">
        <v>281</v>
      </c>
      <c r="B6" s="6" t="s">
        <v>25</v>
      </c>
      <c r="C6" s="7">
        <f>+C7</f>
        <v>10</v>
      </c>
      <c r="D6" s="7">
        <f>+D7</f>
        <v>0</v>
      </c>
      <c r="E6" s="7">
        <f>+C6-D6</f>
        <v>10</v>
      </c>
      <c r="F6" s="7">
        <f>+F7</f>
        <v>0</v>
      </c>
      <c r="G6" s="7">
        <f>+D6-F6</f>
        <v>0</v>
      </c>
      <c r="H6" s="8">
        <f>+D6/C6</f>
        <v>0</v>
      </c>
      <c r="I6" s="8">
        <f>+F6/C6</f>
        <v>0</v>
      </c>
    </row>
    <row r="7" spans="1:9" x14ac:dyDescent="0.25">
      <c r="A7" s="175" t="s">
        <v>282</v>
      </c>
      <c r="B7" s="176" t="s">
        <v>283</v>
      </c>
      <c r="C7" s="177">
        <f>+C8</f>
        <v>10</v>
      </c>
      <c r="D7" s="177">
        <f>+D8</f>
        <v>0</v>
      </c>
      <c r="E7" s="66">
        <f t="shared" ref="E7:E18" si="0">+C7-D7</f>
        <v>10</v>
      </c>
      <c r="F7" s="177">
        <f>+F8</f>
        <v>0</v>
      </c>
      <c r="G7" s="177">
        <f t="shared" ref="G7:G18" si="1">+D7-F7</f>
        <v>0</v>
      </c>
      <c r="H7" s="27">
        <f t="shared" ref="H7:H18" si="2">+D7/C7</f>
        <v>0</v>
      </c>
      <c r="I7" s="27">
        <f t="shared" ref="I7:I18" si="3">+F7/C7</f>
        <v>0</v>
      </c>
    </row>
    <row r="8" spans="1:9" x14ac:dyDescent="0.25">
      <c r="A8" s="30" t="s">
        <v>286</v>
      </c>
      <c r="B8" s="179" t="s">
        <v>287</v>
      </c>
      <c r="C8" s="9">
        <v>10</v>
      </c>
      <c r="D8" s="9">
        <v>0</v>
      </c>
      <c r="E8" s="65">
        <f t="shared" si="0"/>
        <v>10</v>
      </c>
      <c r="F8" s="9">
        <v>0</v>
      </c>
      <c r="G8" s="9">
        <f t="shared" si="1"/>
        <v>0</v>
      </c>
      <c r="H8" s="10">
        <f t="shared" si="2"/>
        <v>0</v>
      </c>
      <c r="I8" s="10">
        <f t="shared" si="3"/>
        <v>0</v>
      </c>
    </row>
    <row r="9" spans="1:9" x14ac:dyDescent="0.25">
      <c r="A9" s="172" t="s">
        <v>288</v>
      </c>
      <c r="B9" s="173" t="s">
        <v>289</v>
      </c>
      <c r="C9" s="174">
        <v>412733</v>
      </c>
      <c r="D9" s="174">
        <v>171690</v>
      </c>
      <c r="E9" s="7">
        <f t="shared" si="0"/>
        <v>241043</v>
      </c>
      <c r="F9" s="174">
        <v>171690</v>
      </c>
      <c r="G9" s="174">
        <f t="shared" si="1"/>
        <v>0</v>
      </c>
      <c r="H9" s="8">
        <f t="shared" si="2"/>
        <v>0.4159832143298452</v>
      </c>
      <c r="I9" s="8">
        <f t="shared" si="3"/>
        <v>0.4159832143298452</v>
      </c>
    </row>
    <row r="10" spans="1:9" x14ac:dyDescent="0.25">
      <c r="A10" s="172" t="s">
        <v>290</v>
      </c>
      <c r="B10" s="173" t="s">
        <v>291</v>
      </c>
      <c r="C10" s="174">
        <f>SUM(C11:C13)</f>
        <v>1361496</v>
      </c>
      <c r="D10" s="174">
        <f>SUM(D11:D13)</f>
        <v>1284538</v>
      </c>
      <c r="E10" s="7">
        <f t="shared" si="0"/>
        <v>76958</v>
      </c>
      <c r="F10" s="174">
        <f>SUM(F11:F13)</f>
        <v>1284538</v>
      </c>
      <c r="G10" s="174">
        <f t="shared" si="1"/>
        <v>0</v>
      </c>
      <c r="H10" s="8">
        <f t="shared" si="2"/>
        <v>0.943475412340543</v>
      </c>
      <c r="I10" s="8">
        <f t="shared" si="3"/>
        <v>0.943475412340543</v>
      </c>
    </row>
    <row r="11" spans="1:9" x14ac:dyDescent="0.25">
      <c r="A11" s="30" t="s">
        <v>292</v>
      </c>
      <c r="B11" s="179" t="s">
        <v>293</v>
      </c>
      <c r="C11" s="9">
        <v>933990</v>
      </c>
      <c r="D11" s="9">
        <v>955504</v>
      </c>
      <c r="E11" s="65">
        <f t="shared" si="0"/>
        <v>-21514</v>
      </c>
      <c r="F11" s="9">
        <v>955504</v>
      </c>
      <c r="G11" s="9">
        <f t="shared" si="1"/>
        <v>0</v>
      </c>
      <c r="H11" s="10">
        <f t="shared" si="2"/>
        <v>1.0230345078641099</v>
      </c>
      <c r="I11" s="10">
        <f t="shared" si="3"/>
        <v>1.0230345078641099</v>
      </c>
    </row>
    <row r="12" spans="1:9" x14ac:dyDescent="0.25">
      <c r="A12" s="30" t="s">
        <v>294</v>
      </c>
      <c r="B12" s="179" t="s">
        <v>295</v>
      </c>
      <c r="C12" s="9">
        <v>180535</v>
      </c>
      <c r="D12" s="9">
        <v>16416</v>
      </c>
      <c r="E12" s="65">
        <f t="shared" si="0"/>
        <v>164119</v>
      </c>
      <c r="F12" s="9">
        <v>16416</v>
      </c>
      <c r="G12" s="9">
        <f t="shared" si="1"/>
        <v>0</v>
      </c>
      <c r="H12" s="10">
        <f t="shared" si="2"/>
        <v>9.0929736616168613E-2</v>
      </c>
      <c r="I12" s="10">
        <f t="shared" si="3"/>
        <v>9.0929736616168613E-2</v>
      </c>
    </row>
    <row r="13" spans="1:9" x14ac:dyDescent="0.25">
      <c r="A13" s="30" t="s">
        <v>296</v>
      </c>
      <c r="B13" s="179" t="s">
        <v>297</v>
      </c>
      <c r="C13" s="9">
        <v>246971</v>
      </c>
      <c r="D13" s="9">
        <v>312618</v>
      </c>
      <c r="E13" s="65">
        <f t="shared" si="0"/>
        <v>-65647</v>
      </c>
      <c r="F13" s="9">
        <v>312618</v>
      </c>
      <c r="G13" s="9">
        <f t="shared" si="1"/>
        <v>0</v>
      </c>
      <c r="H13" s="10">
        <f t="shared" si="2"/>
        <v>1.265808536224901</v>
      </c>
      <c r="I13" s="10">
        <f t="shared" si="3"/>
        <v>1.265808536224901</v>
      </c>
    </row>
    <row r="14" spans="1:9" x14ac:dyDescent="0.25">
      <c r="A14" s="172" t="s">
        <v>271</v>
      </c>
      <c r="B14" s="173" t="s">
        <v>272</v>
      </c>
      <c r="C14" s="174">
        <f>+C15</f>
        <v>71924922</v>
      </c>
      <c r="D14" s="174">
        <f>+D15</f>
        <v>72224406</v>
      </c>
      <c r="E14" s="7">
        <f t="shared" si="0"/>
        <v>-299484</v>
      </c>
      <c r="F14" s="174">
        <f>+F15</f>
        <v>72224406</v>
      </c>
      <c r="G14" s="174">
        <f t="shared" si="1"/>
        <v>0</v>
      </c>
      <c r="H14" s="8">
        <f t="shared" si="2"/>
        <v>1.004163841846085</v>
      </c>
      <c r="I14" s="8">
        <f t="shared" si="3"/>
        <v>1.004163841846085</v>
      </c>
    </row>
    <row r="15" spans="1:9" x14ac:dyDescent="0.25">
      <c r="A15" s="175" t="s">
        <v>273</v>
      </c>
      <c r="B15" s="176" t="s">
        <v>274</v>
      </c>
      <c r="C15" s="177">
        <f>+C16+C17</f>
        <v>71924922</v>
      </c>
      <c r="D15" s="177">
        <f>+D16+D17</f>
        <v>72224406</v>
      </c>
      <c r="E15" s="66">
        <f t="shared" si="0"/>
        <v>-299484</v>
      </c>
      <c r="F15" s="177">
        <f>+F16+F17</f>
        <v>72224406</v>
      </c>
      <c r="G15" s="177">
        <f t="shared" si="1"/>
        <v>0</v>
      </c>
      <c r="H15" s="27">
        <f t="shared" si="2"/>
        <v>1.004163841846085</v>
      </c>
      <c r="I15" s="27">
        <f t="shared" si="3"/>
        <v>1.004163841846085</v>
      </c>
    </row>
    <row r="16" spans="1:9" x14ac:dyDescent="0.25">
      <c r="A16" s="30" t="s">
        <v>275</v>
      </c>
      <c r="B16" s="179" t="s">
        <v>276</v>
      </c>
      <c r="C16" s="9">
        <v>33751839</v>
      </c>
      <c r="D16" s="9">
        <v>33554095</v>
      </c>
      <c r="E16" s="65">
        <f t="shared" si="0"/>
        <v>197744</v>
      </c>
      <c r="F16" s="9">
        <v>33554095</v>
      </c>
      <c r="G16" s="9">
        <f t="shared" si="1"/>
        <v>0</v>
      </c>
      <c r="H16" s="10">
        <f t="shared" si="2"/>
        <v>0.99414123775596341</v>
      </c>
      <c r="I16" s="10">
        <f t="shared" si="3"/>
        <v>0.99414123775596341</v>
      </c>
    </row>
    <row r="17" spans="1:18" x14ac:dyDescent="0.25">
      <c r="A17" s="30" t="s">
        <v>277</v>
      </c>
      <c r="B17" s="179" t="s">
        <v>278</v>
      </c>
      <c r="C17" s="9">
        <v>38173083</v>
      </c>
      <c r="D17" s="9">
        <v>38670311</v>
      </c>
      <c r="E17" s="65">
        <f t="shared" si="0"/>
        <v>-497228</v>
      </c>
      <c r="F17" s="9">
        <v>38670311</v>
      </c>
      <c r="G17" s="9">
        <f t="shared" si="1"/>
        <v>0</v>
      </c>
      <c r="H17" s="10">
        <f t="shared" si="2"/>
        <v>1.0130256180775339</v>
      </c>
      <c r="I17" s="10">
        <f t="shared" si="3"/>
        <v>1.0130256180775339</v>
      </c>
    </row>
    <row r="18" spans="1:18" x14ac:dyDescent="0.25">
      <c r="A18" s="180" t="s">
        <v>279</v>
      </c>
      <c r="B18" s="181" t="s">
        <v>280</v>
      </c>
      <c r="C18" s="174">
        <v>1895745</v>
      </c>
      <c r="D18" s="174">
        <v>0</v>
      </c>
      <c r="E18" s="13">
        <f t="shared" si="0"/>
        <v>1895745</v>
      </c>
      <c r="F18" s="174">
        <v>0</v>
      </c>
      <c r="G18" s="174">
        <f t="shared" si="1"/>
        <v>0</v>
      </c>
      <c r="H18" s="8">
        <f t="shared" si="2"/>
        <v>0</v>
      </c>
      <c r="I18" s="8">
        <f t="shared" si="3"/>
        <v>0</v>
      </c>
    </row>
    <row r="19" spans="1:18" x14ac:dyDescent="0.25">
      <c r="A19" s="91"/>
      <c r="B19" s="182" t="s">
        <v>22</v>
      </c>
      <c r="C19" s="183">
        <f>+C6+C9+C10+C14+C18</f>
        <v>75594906</v>
      </c>
      <c r="D19" s="183">
        <f>+D6+D9+D10+D14+D18</f>
        <v>73680634</v>
      </c>
      <c r="E19" s="183">
        <f>+E6+E9+E10+E14+E18</f>
        <v>1914272</v>
      </c>
      <c r="F19" s="183">
        <f>+F6+F9+F10+F14+F18</f>
        <v>73680634</v>
      </c>
      <c r="G19" s="183">
        <f>+G6+G9+G10+G14+G18</f>
        <v>0</v>
      </c>
      <c r="H19" s="21">
        <f>+D19/C19</f>
        <v>0.97467723552695473</v>
      </c>
      <c r="I19" s="21">
        <f>+F19/C19</f>
        <v>0.97467723552695473</v>
      </c>
    </row>
    <row r="20" spans="1:18" x14ac:dyDescent="0.25">
      <c r="C20" s="207"/>
    </row>
    <row r="21" spans="1:18" x14ac:dyDescent="0.25">
      <c r="A21" s="208" t="s">
        <v>320</v>
      </c>
    </row>
    <row r="22" spans="1:18" ht="25.5" x14ac:dyDescent="0.25">
      <c r="A22" s="209" t="s">
        <v>0</v>
      </c>
      <c r="B22" s="210" t="s">
        <v>1</v>
      </c>
      <c r="C22" s="210" t="s">
        <v>2</v>
      </c>
      <c r="D22" s="210" t="s">
        <v>3</v>
      </c>
      <c r="E22" s="210" t="s">
        <v>4</v>
      </c>
      <c r="F22" s="210" t="s">
        <v>5</v>
      </c>
      <c r="G22" s="211" t="s">
        <v>6</v>
      </c>
      <c r="H22" s="212" t="s">
        <v>7</v>
      </c>
      <c r="I22" s="212" t="s">
        <v>8</v>
      </c>
    </row>
    <row r="23" spans="1:18" x14ac:dyDescent="0.25">
      <c r="A23" s="213">
        <v>21</v>
      </c>
      <c r="B23" s="214" t="s">
        <v>9</v>
      </c>
      <c r="C23" s="215">
        <f>SUM(C24:C29)</f>
        <v>33658933</v>
      </c>
      <c r="D23" s="215">
        <f>SUM(D24:D29)</f>
        <v>33558874</v>
      </c>
      <c r="E23" s="215">
        <f>C23-D23</f>
        <v>100059</v>
      </c>
      <c r="F23" s="215">
        <f>SUM(F24:F29)</f>
        <v>33558874</v>
      </c>
      <c r="G23" s="215">
        <f>D23-F23</f>
        <v>0</v>
      </c>
      <c r="H23" s="216">
        <f>+D23/C23</f>
        <v>0.99702726762015892</v>
      </c>
      <c r="I23" s="216">
        <f>F23/C23</f>
        <v>0.99702726762015892</v>
      </c>
      <c r="J23" s="207"/>
      <c r="K23" s="207"/>
      <c r="L23" s="207"/>
      <c r="M23" s="207"/>
      <c r="N23" s="207"/>
      <c r="O23" s="207"/>
      <c r="P23" s="207"/>
      <c r="Q23" s="207"/>
      <c r="R23" s="207"/>
    </row>
    <row r="24" spans="1:18" outlineLevel="1" x14ac:dyDescent="0.25">
      <c r="A24" s="213"/>
      <c r="B24" s="189" t="s">
        <v>308</v>
      </c>
      <c r="C24" s="217">
        <f>33658933-SUM(C25:C29)</f>
        <v>33116743</v>
      </c>
      <c r="D24" s="217">
        <f>33558874-SUM(D25:D29)</f>
        <v>33018701</v>
      </c>
      <c r="E24" s="217">
        <f t="shared" ref="E24:E73" si="4">C24-D24</f>
        <v>98042</v>
      </c>
      <c r="F24" s="217">
        <f>33558874-SUM(F25:F29)</f>
        <v>33018701</v>
      </c>
      <c r="G24" s="217">
        <f t="shared" ref="G24:G73" si="5">D24-F24</f>
        <v>0</v>
      </c>
      <c r="H24" s="218">
        <f t="shared" ref="H24:H61" si="6">+D24/C24</f>
        <v>0.99703950355262894</v>
      </c>
      <c r="I24" s="218">
        <f t="shared" ref="I24:I74" si="7">F24/C24</f>
        <v>0.99703950355262894</v>
      </c>
      <c r="J24" s="207"/>
      <c r="K24" s="207"/>
      <c r="L24" s="207"/>
      <c r="M24" s="207"/>
      <c r="N24" s="207"/>
      <c r="O24" s="207"/>
      <c r="P24" s="207"/>
      <c r="Q24" s="207"/>
      <c r="R24" s="207"/>
    </row>
    <row r="25" spans="1:18" outlineLevel="1" x14ac:dyDescent="0.25">
      <c r="A25" s="213"/>
      <c r="B25" s="189" t="s">
        <v>309</v>
      </c>
      <c r="C25" s="217">
        <v>131598</v>
      </c>
      <c r="D25" s="217">
        <v>131598</v>
      </c>
      <c r="E25" s="217">
        <f t="shared" si="4"/>
        <v>0</v>
      </c>
      <c r="F25" s="217">
        <v>131598</v>
      </c>
      <c r="G25" s="217">
        <f t="shared" si="5"/>
        <v>0</v>
      </c>
      <c r="H25" s="218">
        <f t="shared" si="6"/>
        <v>1</v>
      </c>
      <c r="I25" s="218">
        <f t="shared" si="7"/>
        <v>1</v>
      </c>
      <c r="J25" s="207"/>
      <c r="K25" s="207"/>
      <c r="L25" s="207"/>
      <c r="M25" s="207"/>
      <c r="N25" s="207"/>
      <c r="O25" s="207"/>
      <c r="P25" s="207"/>
      <c r="Q25" s="207"/>
      <c r="R25" s="207"/>
    </row>
    <row r="26" spans="1:18" outlineLevel="1" x14ac:dyDescent="0.25">
      <c r="A26" s="213"/>
      <c r="B26" s="189" t="s">
        <v>310</v>
      </c>
      <c r="C26" s="219">
        <v>100371</v>
      </c>
      <c r="D26" s="219">
        <v>100371</v>
      </c>
      <c r="E26" s="217">
        <f t="shared" si="4"/>
        <v>0</v>
      </c>
      <c r="F26" s="217">
        <v>100371</v>
      </c>
      <c r="G26" s="217">
        <f t="shared" si="5"/>
        <v>0</v>
      </c>
      <c r="H26" s="218">
        <f t="shared" si="6"/>
        <v>1</v>
      </c>
      <c r="I26" s="218">
        <f t="shared" si="7"/>
        <v>1</v>
      </c>
      <c r="J26" s="207"/>
      <c r="K26" s="207"/>
      <c r="L26" s="207"/>
      <c r="M26" s="207"/>
      <c r="N26" s="207"/>
      <c r="O26" s="207"/>
      <c r="P26" s="207"/>
      <c r="Q26" s="207"/>
      <c r="R26" s="207"/>
    </row>
    <row r="27" spans="1:18" outlineLevel="1" x14ac:dyDescent="0.25">
      <c r="A27" s="213"/>
      <c r="B27" s="189" t="s">
        <v>311</v>
      </c>
      <c r="C27" s="219">
        <v>69396</v>
      </c>
      <c r="D27" s="219">
        <v>68840</v>
      </c>
      <c r="E27" s="217">
        <f t="shared" si="4"/>
        <v>556</v>
      </c>
      <c r="F27" s="217">
        <v>68840</v>
      </c>
      <c r="G27" s="217">
        <f t="shared" si="5"/>
        <v>0</v>
      </c>
      <c r="H27" s="218">
        <f t="shared" si="6"/>
        <v>0.99198801083635946</v>
      </c>
      <c r="I27" s="218">
        <f t="shared" si="7"/>
        <v>0.99198801083635946</v>
      </c>
      <c r="J27" s="207"/>
      <c r="K27" s="207"/>
      <c r="L27" s="207"/>
      <c r="M27" s="207"/>
      <c r="N27" s="207"/>
      <c r="O27" s="207"/>
      <c r="P27" s="207"/>
      <c r="Q27" s="207"/>
      <c r="R27" s="207"/>
    </row>
    <row r="28" spans="1:18" outlineLevel="1" x14ac:dyDescent="0.25">
      <c r="A28" s="213"/>
      <c r="B28" s="189" t="s">
        <v>312</v>
      </c>
      <c r="C28" s="219">
        <v>8499</v>
      </c>
      <c r="D28" s="219">
        <v>8499</v>
      </c>
      <c r="E28" s="217">
        <f t="shared" si="4"/>
        <v>0</v>
      </c>
      <c r="F28" s="217">
        <v>8499</v>
      </c>
      <c r="G28" s="217">
        <f t="shared" si="5"/>
        <v>0</v>
      </c>
      <c r="H28" s="218">
        <f t="shared" si="6"/>
        <v>1</v>
      </c>
      <c r="I28" s="218">
        <f t="shared" si="7"/>
        <v>1</v>
      </c>
      <c r="J28" s="207"/>
      <c r="K28" s="207"/>
      <c r="L28" s="207"/>
      <c r="M28" s="207"/>
      <c r="N28" s="207"/>
      <c r="O28" s="207"/>
      <c r="P28" s="207"/>
      <c r="Q28" s="207"/>
      <c r="R28" s="207"/>
    </row>
    <row r="29" spans="1:18" outlineLevel="1" x14ac:dyDescent="0.25">
      <c r="A29" s="213"/>
      <c r="B29" s="189" t="s">
        <v>313</v>
      </c>
      <c r="C29" s="219">
        <v>232326</v>
      </c>
      <c r="D29" s="219">
        <v>230865</v>
      </c>
      <c r="E29" s="217">
        <f t="shared" si="4"/>
        <v>1461</v>
      </c>
      <c r="F29" s="217">
        <v>230865</v>
      </c>
      <c r="G29" s="217">
        <f t="shared" si="5"/>
        <v>0</v>
      </c>
      <c r="H29" s="218">
        <f t="shared" si="6"/>
        <v>0.99371142274218127</v>
      </c>
      <c r="I29" s="218">
        <f t="shared" si="7"/>
        <v>0.99371142274218127</v>
      </c>
      <c r="J29" s="207"/>
      <c r="K29" s="207"/>
      <c r="L29" s="207"/>
      <c r="M29" s="207"/>
      <c r="N29" s="207"/>
      <c r="O29" s="207"/>
      <c r="P29" s="207"/>
      <c r="Q29" s="207"/>
      <c r="R29" s="207"/>
    </row>
    <row r="30" spans="1:18" x14ac:dyDescent="0.25">
      <c r="A30" s="213">
        <v>22</v>
      </c>
      <c r="B30" s="220" t="s">
        <v>10</v>
      </c>
      <c r="C30" s="221">
        <v>8354232</v>
      </c>
      <c r="D30" s="221">
        <v>8283476</v>
      </c>
      <c r="E30" s="215">
        <f t="shared" si="4"/>
        <v>70756</v>
      </c>
      <c r="F30" s="215">
        <v>8281379</v>
      </c>
      <c r="G30" s="215">
        <f t="shared" si="5"/>
        <v>2097</v>
      </c>
      <c r="H30" s="216">
        <f t="shared" si="6"/>
        <v>0.99153052010047127</v>
      </c>
      <c r="I30" s="216">
        <f t="shared" si="7"/>
        <v>0.99127950959465816</v>
      </c>
      <c r="J30" s="207"/>
      <c r="K30" s="207"/>
      <c r="L30" s="207"/>
      <c r="M30" s="207"/>
      <c r="N30" s="207"/>
      <c r="O30" s="207"/>
      <c r="P30" s="207"/>
      <c r="Q30" s="207"/>
      <c r="R30" s="207"/>
    </row>
    <row r="31" spans="1:18" x14ac:dyDescent="0.25">
      <c r="A31" s="213">
        <v>23</v>
      </c>
      <c r="B31" s="220" t="s">
        <v>24</v>
      </c>
      <c r="C31" s="221">
        <v>1003199</v>
      </c>
      <c r="D31" s="221">
        <v>1001799</v>
      </c>
      <c r="E31" s="215">
        <f t="shared" si="4"/>
        <v>1400</v>
      </c>
      <c r="F31" s="215">
        <v>1001799</v>
      </c>
      <c r="G31" s="215">
        <f t="shared" si="5"/>
        <v>0</v>
      </c>
      <c r="H31" s="216">
        <f t="shared" si="6"/>
        <v>0.99860446431864469</v>
      </c>
      <c r="I31" s="216">
        <f t="shared" si="7"/>
        <v>0.99860446431864469</v>
      </c>
      <c r="J31" s="207"/>
      <c r="K31" s="207"/>
      <c r="L31" s="207"/>
      <c r="M31" s="207"/>
      <c r="N31" s="207"/>
      <c r="O31" s="207"/>
      <c r="P31" s="207"/>
      <c r="Q31" s="207"/>
      <c r="R31" s="207"/>
    </row>
    <row r="32" spans="1:18" x14ac:dyDescent="0.25">
      <c r="A32" s="213">
        <v>24</v>
      </c>
      <c r="B32" s="220" t="s">
        <v>25</v>
      </c>
      <c r="C32" s="221">
        <f>C33+C39+C41+C50</f>
        <v>13982306</v>
      </c>
      <c r="D32" s="221">
        <f>D33+D39+D41+D50</f>
        <v>13545634</v>
      </c>
      <c r="E32" s="215">
        <f t="shared" si="4"/>
        <v>436672</v>
      </c>
      <c r="F32" s="221">
        <f>F33+F39+F41+F50</f>
        <v>13545634</v>
      </c>
      <c r="G32" s="215">
        <f t="shared" si="5"/>
        <v>0</v>
      </c>
      <c r="H32" s="216">
        <f t="shared" si="6"/>
        <v>0.96876967218425913</v>
      </c>
      <c r="I32" s="216">
        <f t="shared" si="7"/>
        <v>0.96876967218425913</v>
      </c>
      <c r="J32" s="207"/>
      <c r="K32" s="207"/>
      <c r="L32" s="207"/>
      <c r="M32" s="207"/>
      <c r="N32" s="207"/>
      <c r="O32" s="207"/>
      <c r="P32" s="207"/>
      <c r="Q32" s="207"/>
      <c r="R32" s="207"/>
    </row>
    <row r="33" spans="1:18" s="227" customFormat="1" x14ac:dyDescent="0.25">
      <c r="A33" s="222" t="s">
        <v>26</v>
      </c>
      <c r="B33" s="223" t="s">
        <v>27</v>
      </c>
      <c r="C33" s="224">
        <f>SUM(C34:C38)</f>
        <v>6973020</v>
      </c>
      <c r="D33" s="224">
        <f>SUM(D34:D38)</f>
        <v>6950617</v>
      </c>
      <c r="E33" s="225">
        <f t="shared" si="4"/>
        <v>22403</v>
      </c>
      <c r="F33" s="225">
        <f>SUM(F34:F38)</f>
        <v>6950617</v>
      </c>
      <c r="G33" s="225">
        <f t="shared" si="5"/>
        <v>0</v>
      </c>
      <c r="H33" s="226">
        <f t="shared" si="6"/>
        <v>0.99678718833446622</v>
      </c>
      <c r="I33" s="226">
        <f t="shared" si="7"/>
        <v>0.99678718833446622</v>
      </c>
      <c r="J33" s="207"/>
      <c r="K33" s="207"/>
      <c r="L33" s="207"/>
      <c r="M33" s="207"/>
      <c r="N33" s="207"/>
      <c r="O33" s="207"/>
      <c r="P33" s="207"/>
      <c r="Q33" s="207"/>
      <c r="R33" s="207"/>
    </row>
    <row r="34" spans="1:18" x14ac:dyDescent="0.25">
      <c r="A34" s="228" t="s">
        <v>336</v>
      </c>
      <c r="B34" s="229" t="s">
        <v>337</v>
      </c>
      <c r="C34" s="230">
        <v>3075431</v>
      </c>
      <c r="D34" s="230">
        <v>3053029</v>
      </c>
      <c r="E34" s="231">
        <f t="shared" si="4"/>
        <v>22402</v>
      </c>
      <c r="F34" s="231">
        <v>3053029</v>
      </c>
      <c r="G34" s="231">
        <f t="shared" si="5"/>
        <v>0</v>
      </c>
      <c r="H34" s="218">
        <f t="shared" si="6"/>
        <v>0.99271581771790685</v>
      </c>
      <c r="I34" s="218">
        <f t="shared" si="7"/>
        <v>0.99271581771790685</v>
      </c>
      <c r="J34" s="207"/>
      <c r="K34" s="207"/>
      <c r="L34" s="207"/>
      <c r="M34" s="207"/>
      <c r="N34" s="207"/>
      <c r="O34" s="207"/>
      <c r="P34" s="207"/>
      <c r="Q34" s="207"/>
      <c r="R34" s="207"/>
    </row>
    <row r="35" spans="1:18" x14ac:dyDescent="0.25">
      <c r="A35" s="228" t="s">
        <v>338</v>
      </c>
      <c r="B35" s="229" t="s">
        <v>339</v>
      </c>
      <c r="C35" s="230">
        <v>78925</v>
      </c>
      <c r="D35" s="230">
        <v>78925</v>
      </c>
      <c r="E35" s="231">
        <f t="shared" si="4"/>
        <v>0</v>
      </c>
      <c r="F35" s="231">
        <v>78925</v>
      </c>
      <c r="G35" s="231">
        <f t="shared" si="5"/>
        <v>0</v>
      </c>
      <c r="H35" s="218">
        <f t="shared" si="6"/>
        <v>1</v>
      </c>
      <c r="I35" s="218">
        <f t="shared" si="7"/>
        <v>1</v>
      </c>
      <c r="J35" s="207"/>
      <c r="K35" s="207"/>
      <c r="L35" s="207"/>
      <c r="M35" s="207"/>
      <c r="N35" s="207"/>
      <c r="O35" s="207"/>
      <c r="P35" s="207"/>
      <c r="Q35" s="207"/>
      <c r="R35" s="207"/>
    </row>
    <row r="36" spans="1:18" x14ac:dyDescent="0.25">
      <c r="A36" s="228" t="s">
        <v>340</v>
      </c>
      <c r="B36" s="229" t="s">
        <v>341</v>
      </c>
      <c r="C36" s="230">
        <v>2079813</v>
      </c>
      <c r="D36" s="230">
        <v>2079813</v>
      </c>
      <c r="E36" s="231">
        <f t="shared" si="4"/>
        <v>0</v>
      </c>
      <c r="F36" s="231">
        <v>2079813</v>
      </c>
      <c r="G36" s="231">
        <f t="shared" si="5"/>
        <v>0</v>
      </c>
      <c r="H36" s="218">
        <f t="shared" si="6"/>
        <v>1</v>
      </c>
      <c r="I36" s="218">
        <f t="shared" si="7"/>
        <v>1</v>
      </c>
      <c r="J36" s="207"/>
      <c r="K36" s="207"/>
      <c r="L36" s="207"/>
      <c r="M36" s="207"/>
      <c r="N36" s="207"/>
      <c r="O36" s="207"/>
      <c r="P36" s="207"/>
      <c r="Q36" s="207"/>
      <c r="R36" s="207"/>
    </row>
    <row r="37" spans="1:18" x14ac:dyDescent="0.25">
      <c r="A37" s="228" t="s">
        <v>342</v>
      </c>
      <c r="B37" s="229" t="s">
        <v>343</v>
      </c>
      <c r="C37" s="230">
        <v>185170</v>
      </c>
      <c r="D37" s="230">
        <v>185170</v>
      </c>
      <c r="E37" s="231">
        <f t="shared" si="4"/>
        <v>0</v>
      </c>
      <c r="F37" s="231">
        <v>185170</v>
      </c>
      <c r="G37" s="231">
        <f t="shared" si="5"/>
        <v>0</v>
      </c>
      <c r="H37" s="218">
        <f t="shared" si="6"/>
        <v>1</v>
      </c>
      <c r="I37" s="218">
        <f t="shared" si="7"/>
        <v>1</v>
      </c>
      <c r="J37" s="207"/>
      <c r="K37" s="207"/>
      <c r="L37" s="207"/>
      <c r="M37" s="207"/>
      <c r="N37" s="207"/>
      <c r="O37" s="207"/>
      <c r="P37" s="207"/>
      <c r="Q37" s="207"/>
      <c r="R37" s="207"/>
    </row>
    <row r="38" spans="1:18" x14ac:dyDescent="0.25">
      <c r="A38" s="228" t="s">
        <v>344</v>
      </c>
      <c r="B38" s="229" t="s">
        <v>345</v>
      </c>
      <c r="C38" s="230">
        <v>1553681</v>
      </c>
      <c r="D38" s="230">
        <v>1553680</v>
      </c>
      <c r="E38" s="231">
        <f t="shared" si="4"/>
        <v>1</v>
      </c>
      <c r="F38" s="231">
        <v>1553680</v>
      </c>
      <c r="G38" s="231">
        <f t="shared" si="5"/>
        <v>0</v>
      </c>
      <c r="H38" s="218">
        <f t="shared" si="6"/>
        <v>0.99999935636723369</v>
      </c>
      <c r="I38" s="218">
        <f t="shared" si="7"/>
        <v>0.99999935636723369</v>
      </c>
      <c r="J38" s="207"/>
      <c r="K38" s="207"/>
      <c r="L38" s="207"/>
      <c r="M38" s="207"/>
      <c r="N38" s="207"/>
      <c r="O38" s="207"/>
      <c r="P38" s="207"/>
      <c r="Q38" s="207"/>
      <c r="R38" s="207"/>
    </row>
    <row r="39" spans="1:18" hidden="1" x14ac:dyDescent="0.25">
      <c r="A39" s="222" t="s">
        <v>44</v>
      </c>
      <c r="B39" s="223" t="s">
        <v>45</v>
      </c>
      <c r="C39" s="232">
        <f>+C40</f>
        <v>0</v>
      </c>
      <c r="D39" s="232">
        <f>+D40</f>
        <v>0</v>
      </c>
      <c r="E39" s="233">
        <f t="shared" si="4"/>
        <v>0</v>
      </c>
      <c r="F39" s="233">
        <f>+F40</f>
        <v>0</v>
      </c>
      <c r="G39" s="233">
        <f t="shared" si="5"/>
        <v>0</v>
      </c>
      <c r="H39" s="216" t="e">
        <f t="shared" si="6"/>
        <v>#DIV/0!</v>
      </c>
      <c r="I39" s="216" t="e">
        <f t="shared" si="7"/>
        <v>#DIV/0!</v>
      </c>
      <c r="J39" s="207"/>
      <c r="K39" s="207"/>
      <c r="L39" s="207"/>
      <c r="M39" s="207"/>
      <c r="N39" s="207"/>
      <c r="O39" s="207"/>
      <c r="P39" s="207"/>
      <c r="Q39" s="207"/>
      <c r="R39" s="207"/>
    </row>
    <row r="40" spans="1:18" hidden="1" x14ac:dyDescent="0.25">
      <c r="A40" s="228" t="s">
        <v>346</v>
      </c>
      <c r="B40" s="229" t="s">
        <v>347</v>
      </c>
      <c r="C40" s="230"/>
      <c r="D40" s="230"/>
      <c r="E40" s="231">
        <f t="shared" si="4"/>
        <v>0</v>
      </c>
      <c r="F40" s="231"/>
      <c r="G40" s="231">
        <f t="shared" si="5"/>
        <v>0</v>
      </c>
      <c r="H40" s="218" t="e">
        <f t="shared" si="6"/>
        <v>#DIV/0!</v>
      </c>
      <c r="I40" s="218" t="e">
        <f t="shared" si="7"/>
        <v>#DIV/0!</v>
      </c>
      <c r="J40" s="207"/>
      <c r="K40" s="207"/>
      <c r="L40" s="207"/>
      <c r="M40" s="207"/>
      <c r="N40" s="207"/>
      <c r="O40" s="207"/>
      <c r="P40" s="207"/>
      <c r="Q40" s="207"/>
      <c r="R40" s="207"/>
    </row>
    <row r="41" spans="1:18" s="235" customFormat="1" x14ac:dyDescent="0.25">
      <c r="A41" s="222" t="s">
        <v>48</v>
      </c>
      <c r="B41" s="223" t="s">
        <v>49</v>
      </c>
      <c r="C41" s="232">
        <f>SUM(C42:C49)</f>
        <v>6871634</v>
      </c>
      <c r="D41" s="232">
        <f>SUM(D42:D49)</f>
        <v>6457365</v>
      </c>
      <c r="E41" s="233">
        <f t="shared" si="4"/>
        <v>414269</v>
      </c>
      <c r="F41" s="232">
        <f>SUM(F42:F49)</f>
        <v>6457365</v>
      </c>
      <c r="G41" s="233">
        <f t="shared" si="5"/>
        <v>0</v>
      </c>
      <c r="H41" s="216">
        <f t="shared" si="6"/>
        <v>0.93971317447931602</v>
      </c>
      <c r="I41" s="216">
        <f t="shared" si="7"/>
        <v>0.93971317447931602</v>
      </c>
      <c r="J41" s="207"/>
      <c r="K41" s="234"/>
      <c r="L41" s="234"/>
      <c r="M41" s="234"/>
      <c r="N41" s="234"/>
      <c r="O41" s="234"/>
      <c r="P41" s="234"/>
      <c r="Q41" s="234"/>
      <c r="R41" s="234"/>
    </row>
    <row r="42" spans="1:18" x14ac:dyDescent="0.25">
      <c r="A42" s="228" t="s">
        <v>348</v>
      </c>
      <c r="B42" s="229" t="s">
        <v>349</v>
      </c>
      <c r="C42" s="230">
        <v>2474062</v>
      </c>
      <c r="D42" s="230">
        <v>2355696</v>
      </c>
      <c r="E42" s="231">
        <f t="shared" si="4"/>
        <v>118366</v>
      </c>
      <c r="F42" s="231">
        <v>2355696</v>
      </c>
      <c r="G42" s="231">
        <f t="shared" si="5"/>
        <v>0</v>
      </c>
      <c r="H42" s="218">
        <f t="shared" si="6"/>
        <v>0.95215722160560246</v>
      </c>
      <c r="I42" s="218">
        <f t="shared" si="7"/>
        <v>0.95215722160560246</v>
      </c>
      <c r="J42" s="207"/>
      <c r="K42" s="207"/>
      <c r="L42" s="207"/>
      <c r="M42" s="207"/>
      <c r="N42" s="207"/>
      <c r="O42" s="207"/>
      <c r="P42" s="207"/>
      <c r="Q42" s="207"/>
      <c r="R42" s="207"/>
    </row>
    <row r="43" spans="1:18" x14ac:dyDescent="0.25">
      <c r="A43" s="228" t="s">
        <v>350</v>
      </c>
      <c r="B43" s="229" t="s">
        <v>351</v>
      </c>
      <c r="C43" s="230">
        <v>167205</v>
      </c>
      <c r="D43" s="230">
        <v>166860</v>
      </c>
      <c r="E43" s="231">
        <f t="shared" si="4"/>
        <v>345</v>
      </c>
      <c r="F43" s="231">
        <v>166860</v>
      </c>
      <c r="G43" s="231">
        <f t="shared" si="5"/>
        <v>0</v>
      </c>
      <c r="H43" s="218">
        <f t="shared" si="6"/>
        <v>0.99793666457342778</v>
      </c>
      <c r="I43" s="218">
        <f>F43/C43</f>
        <v>0.99793666457342778</v>
      </c>
      <c r="J43" s="207"/>
      <c r="K43" s="207"/>
      <c r="L43" s="207"/>
      <c r="M43" s="207"/>
      <c r="N43" s="207"/>
      <c r="O43" s="207"/>
      <c r="P43" s="207"/>
      <c r="Q43" s="207"/>
      <c r="R43" s="207"/>
    </row>
    <row r="44" spans="1:18" x14ac:dyDescent="0.25">
      <c r="A44" s="228" t="s">
        <v>352</v>
      </c>
      <c r="B44" s="229" t="s">
        <v>353</v>
      </c>
      <c r="C44" s="230">
        <v>277835</v>
      </c>
      <c r="D44" s="230">
        <v>275013</v>
      </c>
      <c r="E44" s="231">
        <f t="shared" si="4"/>
        <v>2822</v>
      </c>
      <c r="F44" s="231">
        <v>275013</v>
      </c>
      <c r="G44" s="231">
        <f t="shared" si="5"/>
        <v>0</v>
      </c>
      <c r="H44" s="218">
        <f t="shared" si="6"/>
        <v>0.989842892364173</v>
      </c>
      <c r="I44" s="218">
        <f t="shared" si="7"/>
        <v>0.989842892364173</v>
      </c>
      <c r="J44" s="207"/>
      <c r="K44" s="207"/>
      <c r="L44" s="207"/>
      <c r="M44" s="207"/>
      <c r="N44" s="207"/>
      <c r="O44" s="207"/>
      <c r="P44" s="207"/>
      <c r="Q44" s="207"/>
      <c r="R44" s="207"/>
    </row>
    <row r="45" spans="1:18" x14ac:dyDescent="0.25">
      <c r="A45" s="228" t="s">
        <v>354</v>
      </c>
      <c r="B45" s="236" t="s">
        <v>355</v>
      </c>
      <c r="C45" s="230">
        <v>527109</v>
      </c>
      <c r="D45" s="230">
        <v>522963</v>
      </c>
      <c r="E45" s="231">
        <f t="shared" si="4"/>
        <v>4146</v>
      </c>
      <c r="F45" s="231">
        <v>522963</v>
      </c>
      <c r="G45" s="231">
        <f t="shared" si="5"/>
        <v>0</v>
      </c>
      <c r="H45" s="218">
        <f t="shared" si="6"/>
        <v>0.99213445416412926</v>
      </c>
      <c r="I45" s="218">
        <f t="shared" si="7"/>
        <v>0.99213445416412926</v>
      </c>
      <c r="J45" s="207"/>
      <c r="K45" s="207"/>
      <c r="L45" s="207"/>
      <c r="M45" s="207"/>
      <c r="N45" s="207"/>
      <c r="O45" s="207"/>
      <c r="P45" s="207"/>
      <c r="Q45" s="207"/>
      <c r="R45" s="207"/>
    </row>
    <row r="46" spans="1:18" s="238" customFormat="1" x14ac:dyDescent="0.25">
      <c r="A46" s="228" t="s">
        <v>356</v>
      </c>
      <c r="B46" s="229" t="s">
        <v>357</v>
      </c>
      <c r="C46" s="231">
        <v>1032737</v>
      </c>
      <c r="D46" s="231">
        <v>999040</v>
      </c>
      <c r="E46" s="231">
        <f t="shared" si="4"/>
        <v>33697</v>
      </c>
      <c r="F46" s="231">
        <v>999040</v>
      </c>
      <c r="G46" s="231">
        <f t="shared" si="5"/>
        <v>0</v>
      </c>
      <c r="H46" s="216">
        <f t="shared" si="6"/>
        <v>0.96737117000746564</v>
      </c>
      <c r="I46" s="216">
        <f t="shared" si="7"/>
        <v>0.96737117000746564</v>
      </c>
      <c r="J46" s="207"/>
      <c r="K46" s="237"/>
      <c r="L46" s="237"/>
      <c r="M46" s="237"/>
      <c r="N46" s="237"/>
      <c r="O46" s="237"/>
      <c r="P46" s="237"/>
      <c r="Q46" s="237"/>
      <c r="R46" s="237"/>
    </row>
    <row r="47" spans="1:18" s="238" customFormat="1" x14ac:dyDescent="0.25">
      <c r="A47" s="228" t="s">
        <v>358</v>
      </c>
      <c r="B47" s="229" t="s">
        <v>359</v>
      </c>
      <c r="C47" s="231">
        <v>375022</v>
      </c>
      <c r="D47" s="231">
        <v>374556</v>
      </c>
      <c r="E47" s="231">
        <f t="shared" si="4"/>
        <v>466</v>
      </c>
      <c r="F47" s="231">
        <v>374556</v>
      </c>
      <c r="G47" s="231">
        <f t="shared" si="5"/>
        <v>0</v>
      </c>
      <c r="H47" s="216">
        <f t="shared" si="6"/>
        <v>0.99875740623216769</v>
      </c>
      <c r="I47" s="216">
        <f t="shared" si="7"/>
        <v>0.99875740623216769</v>
      </c>
      <c r="J47" s="207"/>
      <c r="K47" s="237"/>
      <c r="L47" s="237"/>
      <c r="M47" s="237"/>
      <c r="N47" s="237"/>
      <c r="O47" s="237"/>
      <c r="P47" s="237"/>
      <c r="Q47" s="237"/>
      <c r="R47" s="237"/>
    </row>
    <row r="48" spans="1:18" s="238" customFormat="1" x14ac:dyDescent="0.25">
      <c r="A48" s="228" t="s">
        <v>360</v>
      </c>
      <c r="B48" s="229" t="s">
        <v>361</v>
      </c>
      <c r="C48" s="231">
        <v>1517664</v>
      </c>
      <c r="D48" s="231">
        <v>1263237</v>
      </c>
      <c r="E48" s="231">
        <f t="shared" si="4"/>
        <v>254427</v>
      </c>
      <c r="F48" s="231">
        <v>1263237</v>
      </c>
      <c r="G48" s="231">
        <f t="shared" si="5"/>
        <v>0</v>
      </c>
      <c r="H48" s="216">
        <f t="shared" si="6"/>
        <v>0.8323561736985261</v>
      </c>
      <c r="I48" s="216">
        <f t="shared" si="7"/>
        <v>0.8323561736985261</v>
      </c>
      <c r="J48" s="207"/>
      <c r="K48" s="237"/>
      <c r="L48" s="237"/>
      <c r="M48" s="237"/>
      <c r="N48" s="237"/>
      <c r="O48" s="237"/>
      <c r="P48" s="237"/>
      <c r="Q48" s="237"/>
      <c r="R48" s="237"/>
    </row>
    <row r="49" spans="1:18" s="238" customFormat="1" x14ac:dyDescent="0.25">
      <c r="A49" s="228" t="s">
        <v>362</v>
      </c>
      <c r="B49" s="229" t="s">
        <v>363</v>
      </c>
      <c r="C49" s="231">
        <v>500000</v>
      </c>
      <c r="D49" s="231">
        <v>500000</v>
      </c>
      <c r="E49" s="231">
        <f t="shared" si="4"/>
        <v>0</v>
      </c>
      <c r="F49" s="231">
        <v>500000</v>
      </c>
      <c r="G49" s="231">
        <f t="shared" si="5"/>
        <v>0</v>
      </c>
      <c r="H49" s="216">
        <f t="shared" si="6"/>
        <v>1</v>
      </c>
      <c r="I49" s="216">
        <f t="shared" si="7"/>
        <v>1</v>
      </c>
      <c r="J49" s="207"/>
      <c r="K49" s="237"/>
      <c r="L49" s="237"/>
      <c r="M49" s="237"/>
      <c r="N49" s="237"/>
      <c r="O49" s="237"/>
      <c r="P49" s="237"/>
      <c r="Q49" s="237"/>
      <c r="R49" s="237"/>
    </row>
    <row r="50" spans="1:18" s="238" customFormat="1" x14ac:dyDescent="0.25">
      <c r="A50" s="222" t="s">
        <v>111</v>
      </c>
      <c r="B50" s="223" t="s">
        <v>112</v>
      </c>
      <c r="C50" s="225">
        <f>+C51</f>
        <v>137652</v>
      </c>
      <c r="D50" s="225">
        <f>+D51</f>
        <v>137652</v>
      </c>
      <c r="E50" s="225">
        <f t="shared" si="4"/>
        <v>0</v>
      </c>
      <c r="F50" s="225">
        <f>+F51</f>
        <v>137652</v>
      </c>
      <c r="G50" s="225">
        <f t="shared" si="5"/>
        <v>0</v>
      </c>
      <c r="H50" s="226">
        <f t="shared" si="6"/>
        <v>1</v>
      </c>
      <c r="I50" s="226">
        <f t="shared" si="7"/>
        <v>1</v>
      </c>
      <c r="J50" s="207"/>
      <c r="K50" s="237"/>
      <c r="L50" s="237"/>
      <c r="M50" s="237"/>
      <c r="N50" s="237"/>
      <c r="O50" s="237"/>
      <c r="P50" s="237"/>
      <c r="Q50" s="237"/>
      <c r="R50" s="237"/>
    </row>
    <row r="51" spans="1:18" s="238" customFormat="1" x14ac:dyDescent="0.25">
      <c r="A51" s="228" t="s">
        <v>114</v>
      </c>
      <c r="B51" s="229" t="s">
        <v>115</v>
      </c>
      <c r="C51" s="231">
        <v>137652</v>
      </c>
      <c r="D51" s="231">
        <v>137652</v>
      </c>
      <c r="E51" s="231">
        <f t="shared" si="4"/>
        <v>0</v>
      </c>
      <c r="F51" s="231">
        <v>137652</v>
      </c>
      <c r="G51" s="231">
        <f t="shared" si="5"/>
        <v>0</v>
      </c>
      <c r="H51" s="218">
        <f t="shared" si="6"/>
        <v>1</v>
      </c>
      <c r="I51" s="218">
        <f t="shared" si="7"/>
        <v>1</v>
      </c>
      <c r="J51" s="207"/>
      <c r="K51" s="237"/>
      <c r="L51" s="237"/>
      <c r="M51" s="237"/>
      <c r="N51" s="237"/>
      <c r="O51" s="237"/>
      <c r="P51" s="237"/>
      <c r="Q51" s="237"/>
      <c r="R51" s="237"/>
    </row>
    <row r="52" spans="1:18" s="235" customFormat="1" x14ac:dyDescent="0.25">
      <c r="A52" s="213">
        <v>25</v>
      </c>
      <c r="B52" s="220" t="s">
        <v>63</v>
      </c>
      <c r="C52" s="233">
        <v>1010249</v>
      </c>
      <c r="D52" s="233">
        <v>977752</v>
      </c>
      <c r="E52" s="233">
        <f t="shared" si="4"/>
        <v>32497</v>
      </c>
      <c r="F52" s="233">
        <v>977752</v>
      </c>
      <c r="G52" s="233">
        <f t="shared" si="5"/>
        <v>0</v>
      </c>
      <c r="H52" s="216">
        <f>+D52/C52</f>
        <v>0.96783268283363799</v>
      </c>
      <c r="I52" s="216">
        <f t="shared" si="7"/>
        <v>0.96783268283363799</v>
      </c>
      <c r="J52" s="207"/>
      <c r="K52" s="234"/>
      <c r="L52" s="234"/>
      <c r="M52" s="234"/>
      <c r="N52" s="234"/>
      <c r="O52" s="234"/>
      <c r="P52" s="234"/>
      <c r="Q52" s="234"/>
      <c r="R52" s="234"/>
    </row>
    <row r="53" spans="1:18" s="227" customFormat="1" x14ac:dyDescent="0.25">
      <c r="A53" s="239">
        <v>29</v>
      </c>
      <c r="B53" s="240" t="s">
        <v>11</v>
      </c>
      <c r="C53" s="225">
        <f>SUM(C54:C58)</f>
        <v>1613303</v>
      </c>
      <c r="D53" s="225">
        <f>SUM(D54:D58)</f>
        <v>1550857</v>
      </c>
      <c r="E53" s="225">
        <f t="shared" si="4"/>
        <v>62446</v>
      </c>
      <c r="F53" s="225">
        <f>SUM(F54:F58)</f>
        <v>1550022</v>
      </c>
      <c r="G53" s="225">
        <f t="shared" si="5"/>
        <v>835</v>
      </c>
      <c r="H53" s="216">
        <f>+D53/C53</f>
        <v>0.96129307389870344</v>
      </c>
      <c r="I53" s="216">
        <f t="shared" si="7"/>
        <v>0.96077550218402863</v>
      </c>
      <c r="J53" s="207"/>
      <c r="K53" s="207"/>
      <c r="L53" s="207"/>
      <c r="M53" s="207"/>
      <c r="N53" s="207"/>
      <c r="O53" s="207"/>
      <c r="P53" s="207"/>
      <c r="Q53" s="207"/>
      <c r="R53" s="207"/>
    </row>
    <row r="54" spans="1:18" s="227" customFormat="1" x14ac:dyDescent="0.25">
      <c r="A54" s="241" t="s">
        <v>12</v>
      </c>
      <c r="B54" s="242" t="s">
        <v>13</v>
      </c>
      <c r="C54" s="231">
        <v>79725</v>
      </c>
      <c r="D54" s="231">
        <v>67401</v>
      </c>
      <c r="E54" s="231">
        <f t="shared" si="4"/>
        <v>12324</v>
      </c>
      <c r="F54" s="231">
        <v>67401</v>
      </c>
      <c r="G54" s="231">
        <f t="shared" si="5"/>
        <v>0</v>
      </c>
      <c r="H54" s="218">
        <f t="shared" si="6"/>
        <v>0.84541862652869237</v>
      </c>
      <c r="I54" s="218">
        <f t="shared" si="7"/>
        <v>0.84541862652869237</v>
      </c>
      <c r="J54" s="207"/>
      <c r="K54" s="207"/>
      <c r="L54" s="207"/>
      <c r="M54" s="207"/>
      <c r="N54" s="207"/>
      <c r="O54" s="207"/>
      <c r="P54" s="207"/>
      <c r="Q54" s="207"/>
      <c r="R54" s="207"/>
    </row>
    <row r="55" spans="1:18" ht="14.25" customHeight="1" x14ac:dyDescent="0.25">
      <c r="A55" s="241" t="s">
        <v>14</v>
      </c>
      <c r="B55" s="242" t="s">
        <v>15</v>
      </c>
      <c r="C55" s="231">
        <v>1191327</v>
      </c>
      <c r="D55" s="231">
        <v>1157296</v>
      </c>
      <c r="E55" s="231">
        <f t="shared" si="4"/>
        <v>34031</v>
      </c>
      <c r="F55" s="231">
        <v>1156461</v>
      </c>
      <c r="G55" s="231">
        <f t="shared" si="5"/>
        <v>835</v>
      </c>
      <c r="H55" s="218">
        <f t="shared" si="6"/>
        <v>0.97143437528067444</v>
      </c>
      <c r="I55" s="218">
        <f t="shared" si="7"/>
        <v>0.97073347619922989</v>
      </c>
      <c r="J55" s="207"/>
      <c r="K55" s="207"/>
      <c r="L55" s="207"/>
      <c r="M55" s="207"/>
      <c r="N55" s="207"/>
      <c r="O55" s="207"/>
      <c r="P55" s="207"/>
      <c r="Q55" s="207"/>
      <c r="R55" s="207"/>
    </row>
    <row r="56" spans="1:18" x14ac:dyDescent="0.25">
      <c r="A56" s="228" t="s">
        <v>16</v>
      </c>
      <c r="B56" s="229" t="s">
        <v>17</v>
      </c>
      <c r="C56" s="231">
        <v>55307</v>
      </c>
      <c r="D56" s="231">
        <v>54747</v>
      </c>
      <c r="E56" s="231">
        <f t="shared" si="4"/>
        <v>560</v>
      </c>
      <c r="F56" s="231">
        <v>54747</v>
      </c>
      <c r="G56" s="231">
        <f t="shared" si="5"/>
        <v>0</v>
      </c>
      <c r="H56" s="218">
        <f t="shared" si="6"/>
        <v>0.98987469940513861</v>
      </c>
      <c r="I56" s="218">
        <f t="shared" si="7"/>
        <v>0.98987469940513861</v>
      </c>
      <c r="J56" s="207"/>
      <c r="K56" s="207"/>
      <c r="L56" s="207"/>
      <c r="M56" s="207"/>
      <c r="N56" s="207"/>
      <c r="O56" s="207"/>
      <c r="P56" s="207"/>
      <c r="Q56" s="207"/>
      <c r="R56" s="207"/>
    </row>
    <row r="57" spans="1:18" x14ac:dyDescent="0.25">
      <c r="A57" s="228" t="s">
        <v>18</v>
      </c>
      <c r="B57" s="229" t="s">
        <v>19</v>
      </c>
      <c r="C57" s="231">
        <v>96709</v>
      </c>
      <c r="D57" s="231">
        <v>87531</v>
      </c>
      <c r="E57" s="231">
        <f t="shared" si="4"/>
        <v>9178</v>
      </c>
      <c r="F57" s="231">
        <v>87531</v>
      </c>
      <c r="G57" s="231">
        <f t="shared" si="5"/>
        <v>0</v>
      </c>
      <c r="H57" s="218">
        <f t="shared" si="6"/>
        <v>0.90509673349946751</v>
      </c>
      <c r="I57" s="218">
        <f t="shared" si="7"/>
        <v>0.90509673349946751</v>
      </c>
      <c r="J57" s="207"/>
      <c r="K57" s="207"/>
      <c r="L57" s="207"/>
      <c r="M57" s="207"/>
      <c r="N57" s="207"/>
      <c r="O57" s="207"/>
      <c r="P57" s="207"/>
      <c r="Q57" s="207"/>
      <c r="R57" s="207"/>
    </row>
    <row r="58" spans="1:18" x14ac:dyDescent="0.25">
      <c r="A58" s="228" t="s">
        <v>20</v>
      </c>
      <c r="B58" s="229" t="s">
        <v>21</v>
      </c>
      <c r="C58" s="231">
        <v>190235</v>
      </c>
      <c r="D58" s="231">
        <v>183882</v>
      </c>
      <c r="E58" s="231">
        <f t="shared" si="4"/>
        <v>6353</v>
      </c>
      <c r="F58" s="231">
        <v>183882</v>
      </c>
      <c r="G58" s="231">
        <f t="shared" si="5"/>
        <v>0</v>
      </c>
      <c r="H58" s="218">
        <f t="shared" si="6"/>
        <v>0.96660446290114854</v>
      </c>
      <c r="I58" s="218">
        <f t="shared" si="7"/>
        <v>0.96660446290114854</v>
      </c>
      <c r="J58" s="207"/>
      <c r="K58" s="207"/>
      <c r="L58" s="207"/>
      <c r="M58" s="207"/>
      <c r="N58" s="207"/>
      <c r="O58" s="207"/>
      <c r="P58" s="207"/>
      <c r="Q58" s="207"/>
      <c r="R58" s="207"/>
    </row>
    <row r="59" spans="1:18" hidden="1" x14ac:dyDescent="0.25">
      <c r="A59" s="243">
        <v>30</v>
      </c>
      <c r="B59" s="220" t="s">
        <v>364</v>
      </c>
      <c r="C59" s="233">
        <f>+C60</f>
        <v>0</v>
      </c>
      <c r="D59" s="233">
        <f>+D60</f>
        <v>0</v>
      </c>
      <c r="E59" s="233">
        <f t="shared" si="4"/>
        <v>0</v>
      </c>
      <c r="F59" s="233">
        <f>+F60</f>
        <v>0</v>
      </c>
      <c r="G59" s="233">
        <f t="shared" si="5"/>
        <v>0</v>
      </c>
      <c r="H59" s="216" t="e">
        <f t="shared" si="6"/>
        <v>#DIV/0!</v>
      </c>
      <c r="I59" s="216" t="e">
        <f t="shared" si="7"/>
        <v>#DIV/0!</v>
      </c>
      <c r="J59" s="207"/>
      <c r="K59" s="207"/>
      <c r="L59" s="207"/>
      <c r="M59" s="207"/>
      <c r="N59" s="207"/>
      <c r="O59" s="207"/>
      <c r="P59" s="207"/>
      <c r="Q59" s="207"/>
      <c r="R59" s="207"/>
    </row>
    <row r="60" spans="1:18" hidden="1" x14ac:dyDescent="0.25">
      <c r="A60" s="228" t="s">
        <v>365</v>
      </c>
      <c r="B60" s="229" t="s">
        <v>366</v>
      </c>
      <c r="C60" s="231"/>
      <c r="D60" s="231">
        <v>0</v>
      </c>
      <c r="E60" s="231">
        <f t="shared" si="4"/>
        <v>0</v>
      </c>
      <c r="F60" s="231">
        <v>0</v>
      </c>
      <c r="G60" s="231">
        <f t="shared" si="5"/>
        <v>0</v>
      </c>
      <c r="H60" s="218" t="e">
        <f>+D60/C60</f>
        <v>#DIV/0!</v>
      </c>
      <c r="I60" s="218" t="e">
        <f t="shared" si="7"/>
        <v>#DIV/0!</v>
      </c>
      <c r="J60" s="207"/>
      <c r="K60" s="207"/>
      <c r="L60" s="207"/>
      <c r="M60" s="207"/>
      <c r="N60" s="207"/>
      <c r="O60" s="207"/>
      <c r="P60" s="207"/>
      <c r="Q60" s="207"/>
      <c r="R60" s="207"/>
    </row>
    <row r="61" spans="1:18" s="235" customFormat="1" x14ac:dyDescent="0.25">
      <c r="A61" s="213">
        <v>31</v>
      </c>
      <c r="B61" s="220" t="s">
        <v>367</v>
      </c>
      <c r="C61" s="233">
        <f>+C62</f>
        <v>4184365</v>
      </c>
      <c r="D61" s="233">
        <f>+D62</f>
        <v>3963118</v>
      </c>
      <c r="E61" s="233">
        <f t="shared" si="4"/>
        <v>221247</v>
      </c>
      <c r="F61" s="233">
        <f>+F62</f>
        <v>3963118</v>
      </c>
      <c r="G61" s="233">
        <f t="shared" si="5"/>
        <v>0</v>
      </c>
      <c r="H61" s="216">
        <f t="shared" si="6"/>
        <v>0.94712531053098858</v>
      </c>
      <c r="I61" s="216">
        <f t="shared" si="7"/>
        <v>0.94712531053098858</v>
      </c>
      <c r="J61" s="207"/>
      <c r="K61" s="234"/>
      <c r="L61" s="234"/>
      <c r="M61" s="234"/>
      <c r="N61" s="234"/>
      <c r="O61" s="234"/>
      <c r="P61" s="234"/>
      <c r="Q61" s="234"/>
      <c r="R61" s="234"/>
    </row>
    <row r="62" spans="1:18" x14ac:dyDescent="0.25">
      <c r="A62" s="228" t="s">
        <v>64</v>
      </c>
      <c r="B62" s="229" t="s">
        <v>65</v>
      </c>
      <c r="C62" s="231">
        <v>4184365</v>
      </c>
      <c r="D62" s="231">
        <v>3963118</v>
      </c>
      <c r="E62" s="231">
        <f t="shared" si="4"/>
        <v>221247</v>
      </c>
      <c r="F62" s="231">
        <v>3963118</v>
      </c>
      <c r="G62" s="231">
        <f t="shared" si="5"/>
        <v>0</v>
      </c>
      <c r="H62" s="218">
        <f>+D62/C62</f>
        <v>0.94712531053098858</v>
      </c>
      <c r="I62" s="218">
        <f t="shared" si="7"/>
        <v>0.94712531053098858</v>
      </c>
      <c r="J62" s="207"/>
      <c r="K62" s="207"/>
      <c r="L62" s="207"/>
      <c r="M62" s="207"/>
      <c r="N62" s="207"/>
      <c r="O62" s="207"/>
      <c r="P62" s="207"/>
      <c r="Q62" s="207"/>
      <c r="R62" s="207"/>
    </row>
    <row r="63" spans="1:18" s="235" customFormat="1" x14ac:dyDescent="0.25">
      <c r="A63" s="244">
        <v>33</v>
      </c>
      <c r="B63" s="245" t="s">
        <v>66</v>
      </c>
      <c r="C63" s="246">
        <f>+C64+C66+C68</f>
        <v>8296651</v>
      </c>
      <c r="D63" s="246">
        <f>+D64+D66+D68</f>
        <v>8180843</v>
      </c>
      <c r="E63" s="246">
        <f t="shared" si="4"/>
        <v>115808</v>
      </c>
      <c r="F63" s="246">
        <f>+F64+F66+F68</f>
        <v>8180843</v>
      </c>
      <c r="G63" s="246">
        <f t="shared" si="5"/>
        <v>0</v>
      </c>
      <c r="H63" s="247">
        <f>+D63/C63</f>
        <v>0.98604159678405179</v>
      </c>
      <c r="I63" s="247">
        <f t="shared" si="7"/>
        <v>0.98604159678405179</v>
      </c>
      <c r="J63" s="234"/>
      <c r="K63" s="234"/>
      <c r="L63" s="234"/>
      <c r="M63" s="234"/>
      <c r="N63" s="234"/>
      <c r="O63" s="234"/>
      <c r="P63" s="234"/>
      <c r="Q63" s="234"/>
      <c r="R63" s="234"/>
    </row>
    <row r="64" spans="1:18" s="250" customFormat="1" x14ac:dyDescent="0.25">
      <c r="A64" s="248" t="s">
        <v>368</v>
      </c>
      <c r="B64" s="223" t="s">
        <v>27</v>
      </c>
      <c r="C64" s="225">
        <f>SUM(C65:C65)</f>
        <v>704697</v>
      </c>
      <c r="D64" s="225">
        <f>SUM(D65:D65)</f>
        <v>674030</v>
      </c>
      <c r="E64" s="225">
        <f t="shared" si="4"/>
        <v>30667</v>
      </c>
      <c r="F64" s="225">
        <f>SUM(F65:F65)</f>
        <v>674030</v>
      </c>
      <c r="G64" s="225">
        <f t="shared" si="5"/>
        <v>0</v>
      </c>
      <c r="H64" s="226">
        <f t="shared" ref="H64:H68" si="8">+D64/C64</f>
        <v>0.95648200574147468</v>
      </c>
      <c r="I64" s="226">
        <f t="shared" si="7"/>
        <v>0.95648200574147468</v>
      </c>
      <c r="J64" s="207"/>
      <c r="K64" s="249"/>
      <c r="L64" s="249"/>
      <c r="M64" s="249"/>
      <c r="N64" s="249"/>
      <c r="O64" s="249"/>
      <c r="P64" s="249"/>
      <c r="Q64" s="249"/>
      <c r="R64" s="249"/>
    </row>
    <row r="65" spans="1:18" x14ac:dyDescent="0.25">
      <c r="A65" s="251" t="s">
        <v>369</v>
      </c>
      <c r="B65" s="229" t="s">
        <v>370</v>
      </c>
      <c r="C65" s="231">
        <v>704697</v>
      </c>
      <c r="D65" s="231">
        <v>674030</v>
      </c>
      <c r="E65" s="231">
        <f t="shared" si="4"/>
        <v>30667</v>
      </c>
      <c r="F65" s="231">
        <v>674030</v>
      </c>
      <c r="G65" s="231">
        <f t="shared" si="5"/>
        <v>0</v>
      </c>
      <c r="H65" s="218">
        <f t="shared" si="8"/>
        <v>0.95648200574147468</v>
      </c>
      <c r="I65" s="218">
        <f t="shared" si="7"/>
        <v>0.95648200574147468</v>
      </c>
      <c r="J65" s="207"/>
      <c r="K65" s="207"/>
      <c r="L65" s="207"/>
      <c r="M65" s="207"/>
      <c r="N65" s="207"/>
      <c r="O65" s="207"/>
      <c r="P65" s="207"/>
      <c r="Q65" s="207"/>
      <c r="R65" s="207"/>
    </row>
    <row r="66" spans="1:18" x14ac:dyDescent="0.25">
      <c r="A66" s="248" t="s">
        <v>371</v>
      </c>
      <c r="B66" s="223" t="s">
        <v>45</v>
      </c>
      <c r="C66" s="225">
        <f>+C67</f>
        <v>4423670</v>
      </c>
      <c r="D66" s="225">
        <f>+D67</f>
        <v>4423670</v>
      </c>
      <c r="E66" s="225">
        <f t="shared" si="4"/>
        <v>0</v>
      </c>
      <c r="F66" s="225">
        <f>+F67</f>
        <v>4423670</v>
      </c>
      <c r="G66" s="225">
        <f t="shared" si="5"/>
        <v>0</v>
      </c>
      <c r="H66" s="226">
        <f t="shared" si="8"/>
        <v>1</v>
      </c>
      <c r="I66" s="226">
        <f t="shared" si="7"/>
        <v>1</v>
      </c>
      <c r="J66" s="207"/>
      <c r="K66" s="207"/>
      <c r="L66" s="207"/>
      <c r="M66" s="207"/>
      <c r="N66" s="207"/>
      <c r="O66" s="207"/>
      <c r="P66" s="207"/>
      <c r="Q66" s="207"/>
      <c r="R66" s="207"/>
    </row>
    <row r="67" spans="1:18" x14ac:dyDescent="0.25">
      <c r="A67" s="251" t="s">
        <v>372</v>
      </c>
      <c r="B67" s="229" t="s">
        <v>373</v>
      </c>
      <c r="C67" s="231">
        <v>4423670</v>
      </c>
      <c r="D67" s="231">
        <v>4423670</v>
      </c>
      <c r="E67" s="231">
        <f t="shared" si="4"/>
        <v>0</v>
      </c>
      <c r="F67" s="231">
        <v>4423670</v>
      </c>
      <c r="G67" s="231">
        <f t="shared" si="5"/>
        <v>0</v>
      </c>
      <c r="H67" s="218">
        <f t="shared" si="8"/>
        <v>1</v>
      </c>
      <c r="I67" s="218">
        <f t="shared" si="7"/>
        <v>1</v>
      </c>
      <c r="J67" s="207"/>
      <c r="K67" s="207"/>
      <c r="L67" s="207"/>
      <c r="M67" s="207"/>
      <c r="N67" s="207"/>
      <c r="O67" s="207"/>
      <c r="P67" s="207"/>
      <c r="Q67" s="207"/>
      <c r="R67" s="207"/>
    </row>
    <row r="68" spans="1:18" s="235" customFormat="1" x14ac:dyDescent="0.25">
      <c r="A68" s="239" t="s">
        <v>67</v>
      </c>
      <c r="B68" s="240" t="s">
        <v>49</v>
      </c>
      <c r="C68" s="233">
        <f>SUM(C69:C71)</f>
        <v>3168284</v>
      </c>
      <c r="D68" s="233">
        <f>SUM(D69:D71)</f>
        <v>3083143</v>
      </c>
      <c r="E68" s="233">
        <f>+C68-D68</f>
        <v>85141</v>
      </c>
      <c r="F68" s="233">
        <f>SUM(F69:F71)</f>
        <v>3083143</v>
      </c>
      <c r="G68" s="233">
        <f>+D68-F68</f>
        <v>0</v>
      </c>
      <c r="H68" s="216">
        <f t="shared" si="8"/>
        <v>0.97312709340450543</v>
      </c>
      <c r="I68" s="216">
        <f t="shared" si="7"/>
        <v>0.97312709340450543</v>
      </c>
      <c r="J68" s="207"/>
      <c r="K68" s="234"/>
      <c r="L68" s="234"/>
      <c r="M68" s="234"/>
      <c r="N68" s="234"/>
      <c r="O68" s="234"/>
      <c r="P68" s="234"/>
      <c r="Q68" s="234"/>
      <c r="R68" s="234"/>
    </row>
    <row r="69" spans="1:18" x14ac:dyDescent="0.25">
      <c r="A69" s="251">
        <v>3303005</v>
      </c>
      <c r="B69" s="229" t="s">
        <v>374</v>
      </c>
      <c r="C69" s="231">
        <v>700403</v>
      </c>
      <c r="D69" s="231">
        <v>700403</v>
      </c>
      <c r="E69" s="231">
        <f t="shared" si="4"/>
        <v>0</v>
      </c>
      <c r="F69" s="231">
        <v>700403</v>
      </c>
      <c r="G69" s="231">
        <f t="shared" si="5"/>
        <v>0</v>
      </c>
      <c r="H69" s="218">
        <f>+D69/C69</f>
        <v>1</v>
      </c>
      <c r="I69" s="218">
        <f t="shared" si="7"/>
        <v>1</v>
      </c>
      <c r="J69" s="207"/>
      <c r="K69" s="207"/>
      <c r="L69" s="207"/>
      <c r="M69" s="207"/>
      <c r="N69" s="207"/>
      <c r="O69" s="207"/>
      <c r="P69" s="207"/>
      <c r="Q69" s="207"/>
      <c r="R69" s="207"/>
    </row>
    <row r="70" spans="1:18" x14ac:dyDescent="0.25">
      <c r="A70" s="251">
        <v>3303006</v>
      </c>
      <c r="B70" s="229" t="s">
        <v>370</v>
      </c>
      <c r="C70" s="231">
        <v>525084</v>
      </c>
      <c r="D70" s="231">
        <v>454940</v>
      </c>
      <c r="E70" s="231">
        <f t="shared" si="4"/>
        <v>70144</v>
      </c>
      <c r="F70" s="231">
        <v>454940</v>
      </c>
      <c r="G70" s="231">
        <f t="shared" si="5"/>
        <v>0</v>
      </c>
      <c r="H70" s="218">
        <f>+D70/C70</f>
        <v>0.86641375475162075</v>
      </c>
      <c r="I70" s="218">
        <f t="shared" si="7"/>
        <v>0.86641375475162075</v>
      </c>
      <c r="J70" s="207"/>
      <c r="K70" s="207"/>
      <c r="L70" s="207"/>
      <c r="M70" s="207"/>
      <c r="N70" s="207"/>
      <c r="O70" s="207"/>
      <c r="P70" s="207"/>
      <c r="Q70" s="207"/>
      <c r="R70" s="207"/>
    </row>
    <row r="71" spans="1:18" x14ac:dyDescent="0.25">
      <c r="A71" s="251">
        <v>3303007</v>
      </c>
      <c r="B71" s="229" t="s">
        <v>375</v>
      </c>
      <c r="C71" s="231">
        <v>1942797</v>
      </c>
      <c r="D71" s="231">
        <v>1927800</v>
      </c>
      <c r="E71" s="231">
        <f t="shared" si="4"/>
        <v>14997</v>
      </c>
      <c r="F71" s="231">
        <v>1927800</v>
      </c>
      <c r="G71" s="231">
        <f t="shared" si="5"/>
        <v>0</v>
      </c>
      <c r="H71" s="218">
        <f t="shared" ref="H71" si="9">+D71/C71</f>
        <v>0.9922807169251342</v>
      </c>
      <c r="I71" s="218">
        <f t="shared" si="7"/>
        <v>0.9922807169251342</v>
      </c>
      <c r="J71" s="207"/>
      <c r="K71" s="207"/>
      <c r="L71" s="207"/>
      <c r="M71" s="207"/>
      <c r="N71" s="207"/>
      <c r="O71" s="207"/>
      <c r="P71" s="207"/>
      <c r="Q71" s="207"/>
      <c r="R71" s="207"/>
    </row>
    <row r="72" spans="1:18" s="235" customFormat="1" x14ac:dyDescent="0.25">
      <c r="A72" s="239">
        <v>34</v>
      </c>
      <c r="B72" s="240" t="s">
        <v>70</v>
      </c>
      <c r="C72" s="233">
        <f>C73</f>
        <v>3491668</v>
      </c>
      <c r="D72" s="233">
        <f>D73</f>
        <v>3490967</v>
      </c>
      <c r="E72" s="233">
        <f t="shared" si="4"/>
        <v>701</v>
      </c>
      <c r="F72" s="233">
        <f>F73</f>
        <v>3490967</v>
      </c>
      <c r="G72" s="233">
        <f t="shared" si="5"/>
        <v>0</v>
      </c>
      <c r="H72" s="216">
        <f>+D72/C72</f>
        <v>0.99979923635351353</v>
      </c>
      <c r="I72" s="216">
        <f t="shared" si="7"/>
        <v>0.99979923635351353</v>
      </c>
      <c r="J72" s="207"/>
      <c r="K72" s="234"/>
      <c r="L72" s="234"/>
      <c r="M72" s="234"/>
      <c r="N72" s="234"/>
      <c r="O72" s="234"/>
      <c r="P72" s="234"/>
      <c r="Q72" s="234"/>
      <c r="R72" s="234"/>
    </row>
    <row r="73" spans="1:18" x14ac:dyDescent="0.25">
      <c r="A73" s="251" t="s">
        <v>71</v>
      </c>
      <c r="B73" s="252" t="s">
        <v>72</v>
      </c>
      <c r="C73" s="231">
        <v>3491668</v>
      </c>
      <c r="D73" s="231">
        <v>3490967</v>
      </c>
      <c r="E73" s="231">
        <f t="shared" si="4"/>
        <v>701</v>
      </c>
      <c r="F73" s="231">
        <v>3490967</v>
      </c>
      <c r="G73" s="231">
        <f t="shared" si="5"/>
        <v>0</v>
      </c>
      <c r="H73" s="218">
        <f t="shared" ref="H73" si="10">+D73/C73</f>
        <v>0.99979923635351353</v>
      </c>
      <c r="I73" s="218">
        <f t="shared" si="7"/>
        <v>0.99979923635351353</v>
      </c>
      <c r="J73" s="207"/>
      <c r="K73" s="207"/>
      <c r="L73" s="207"/>
      <c r="M73" s="207"/>
      <c r="N73" s="207"/>
      <c r="O73" s="207"/>
      <c r="P73" s="207"/>
      <c r="Q73" s="207"/>
      <c r="R73" s="207"/>
    </row>
    <row r="74" spans="1:18" x14ac:dyDescent="0.25">
      <c r="A74" s="253"/>
      <c r="B74" s="254" t="s">
        <v>22</v>
      </c>
      <c r="C74" s="255">
        <f>C23+C30+C31+C32+C52+C53+C59+C61+C63+C72</f>
        <v>75594906</v>
      </c>
      <c r="D74" s="255">
        <f>D23+D30+D31+D32+D52+D53+D59+D61+D63+D72</f>
        <v>74553320</v>
      </c>
      <c r="E74" s="255">
        <f>E23+E30+E31+E32+E52+E53+E59+E61+E63+E72</f>
        <v>1041586</v>
      </c>
      <c r="F74" s="255">
        <f>F23+F30+F31+F32+F52+F53+F59+F61+F63+F72</f>
        <v>74550388</v>
      </c>
      <c r="G74" s="255">
        <f>G23+G30+G31+G32+G52+G53+G59+G61+G63+G72</f>
        <v>2932</v>
      </c>
      <c r="H74" s="256">
        <f>+D74/C74</f>
        <v>0.98622147899753987</v>
      </c>
      <c r="I74" s="256">
        <f t="shared" si="7"/>
        <v>0.98618269331534059</v>
      </c>
      <c r="K74" s="207"/>
      <c r="L74" s="207"/>
      <c r="M74" s="207"/>
      <c r="N74" s="207"/>
      <c r="O74" s="207"/>
      <c r="P74" s="207"/>
      <c r="Q74" s="207"/>
      <c r="R74" s="207"/>
    </row>
    <row r="75" spans="1:18" hidden="1" x14ac:dyDescent="0.25">
      <c r="B75" s="205" t="s">
        <v>73</v>
      </c>
      <c r="C75" s="207">
        <f>C74-[1]Resumen!B8</f>
        <v>29031958.638999999</v>
      </c>
      <c r="D75" s="207">
        <f>D74-[1]Resumen!C8</f>
        <v>32442510.300000004</v>
      </c>
      <c r="E75" s="207">
        <f>F74-[1]Resumen!D8</f>
        <v>70098250.339000002</v>
      </c>
      <c r="F75" s="207" t="e">
        <f>#REF!-[1]Resumen!E8</f>
        <v>#REF!</v>
      </c>
      <c r="G75" s="207">
        <f>G74-[1]Resumen!F8</f>
        <v>-1070768.6869999999</v>
      </c>
    </row>
    <row r="76" spans="1:18" hidden="1" x14ac:dyDescent="0.25">
      <c r="C76" s="205" t="e">
        <f>C74-'[1]PARA P01'!#REF!/1000</f>
        <v>#REF!</v>
      </c>
      <c r="D76" s="205" t="e">
        <f>D74-'[1]PARA P01'!#REF!/1000</f>
        <v>#REF!</v>
      </c>
      <c r="E76" s="205" t="e">
        <f>F74-'[1]PARA P01'!#REF!/1000</f>
        <v>#REF!</v>
      </c>
      <c r="F76" s="205" t="e">
        <f>#REF!-'[1]PARA P01'!#REF!/1000</f>
        <v>#REF!</v>
      </c>
      <c r="G76" s="205" t="e">
        <f>G74-'[1]PARA P01'!#REF!/1000</f>
        <v>#REF!</v>
      </c>
    </row>
    <row r="77" spans="1:18" ht="22.5" customHeight="1" x14ac:dyDescent="0.25">
      <c r="A77" s="257"/>
      <c r="B77" s="258"/>
      <c r="C77" s="207"/>
      <c r="D77" s="207"/>
      <c r="E77" s="207"/>
      <c r="F77" s="207"/>
      <c r="G77" s="207"/>
      <c r="H77" s="205" t="s">
        <v>73</v>
      </c>
    </row>
    <row r="78" spans="1:18" hidden="1" x14ac:dyDescent="0.25">
      <c r="A78" s="257"/>
      <c r="B78" s="258"/>
      <c r="C78" s="207">
        <f>[2]P01!C37/1000</f>
        <v>52486641.460000001</v>
      </c>
      <c r="D78" s="207">
        <f>[2]P01!D37/1000</f>
        <v>8129229.1710000001</v>
      </c>
      <c r="E78" s="207"/>
      <c r="F78" s="207">
        <f>[2]P01!E37/1000</f>
        <v>5797284.6890000002</v>
      </c>
      <c r="G78" s="207"/>
    </row>
    <row r="79" spans="1:18" hidden="1" x14ac:dyDescent="0.25">
      <c r="A79" s="259"/>
      <c r="B79" s="258"/>
      <c r="C79" s="207">
        <f>C74-C78</f>
        <v>23108264.539999999</v>
      </c>
      <c r="D79" s="207">
        <f>D74-D78</f>
        <v>66424090.828999996</v>
      </c>
      <c r="E79" s="207"/>
      <c r="F79" s="207">
        <f t="shared" ref="F79" si="11">F74-F78</f>
        <v>68753103.311000004</v>
      </c>
    </row>
    <row r="80" spans="1:18" hidden="1" x14ac:dyDescent="0.25">
      <c r="C80" s="207"/>
    </row>
    <row r="81" spans="1:11" x14ac:dyDescent="0.25">
      <c r="C81" s="23"/>
      <c r="D81" s="260"/>
      <c r="F81" s="260"/>
    </row>
    <row r="82" spans="1:11" x14ac:dyDescent="0.25">
      <c r="C82"/>
      <c r="E82" s="207"/>
    </row>
    <row r="83" spans="1:11" x14ac:dyDescent="0.25">
      <c r="C83" s="207"/>
    </row>
    <row r="85" spans="1:11" hidden="1" x14ac:dyDescent="0.25"/>
    <row r="86" spans="1:11" hidden="1" x14ac:dyDescent="0.25">
      <c r="A86" s="209" t="s">
        <v>0</v>
      </c>
      <c r="B86" s="210" t="s">
        <v>1</v>
      </c>
      <c r="C86" s="210"/>
      <c r="D86" s="210"/>
      <c r="E86" s="210"/>
      <c r="F86" s="210"/>
      <c r="G86" s="211"/>
      <c r="H86" s="212"/>
      <c r="I86" s="212"/>
    </row>
    <row r="87" spans="1:11" hidden="1" x14ac:dyDescent="0.25">
      <c r="A87" s="213">
        <v>21</v>
      </c>
      <c r="B87" s="214" t="s">
        <v>9</v>
      </c>
      <c r="C87" s="215"/>
      <c r="D87" s="215"/>
      <c r="E87" s="215"/>
      <c r="F87" s="215"/>
      <c r="G87" s="215"/>
      <c r="H87" s="216"/>
      <c r="I87" s="216"/>
      <c r="K87" s="207">
        <f t="shared" ref="K87:K100" si="12">C23-C87</f>
        <v>33658933</v>
      </c>
    </row>
    <row r="88" spans="1:11" hidden="1" x14ac:dyDescent="0.25">
      <c r="A88" s="213"/>
      <c r="B88" s="189" t="s">
        <v>308</v>
      </c>
      <c r="C88" s="217"/>
      <c r="D88" s="217"/>
      <c r="E88" s="217"/>
      <c r="F88" s="217"/>
      <c r="G88" s="217"/>
      <c r="H88" s="218"/>
      <c r="I88" s="218"/>
      <c r="K88" s="207">
        <f t="shared" si="12"/>
        <v>33116743</v>
      </c>
    </row>
    <row r="89" spans="1:11" hidden="1" x14ac:dyDescent="0.25">
      <c r="A89" s="213"/>
      <c r="B89" s="189" t="s">
        <v>309</v>
      </c>
      <c r="C89" s="217"/>
      <c r="D89" s="217"/>
      <c r="E89" s="217"/>
      <c r="F89" s="217"/>
      <c r="G89" s="217"/>
      <c r="H89" s="218"/>
      <c r="I89" s="218"/>
      <c r="K89" s="207">
        <f t="shared" si="12"/>
        <v>131598</v>
      </c>
    </row>
    <row r="90" spans="1:11" hidden="1" x14ac:dyDescent="0.25">
      <c r="A90" s="213"/>
      <c r="B90" s="189" t="s">
        <v>310</v>
      </c>
      <c r="C90" s="217"/>
      <c r="D90" s="217"/>
      <c r="E90" s="217"/>
      <c r="F90" s="217"/>
      <c r="G90" s="217"/>
      <c r="H90" s="218"/>
      <c r="I90" s="218"/>
      <c r="K90" s="207">
        <f t="shared" si="12"/>
        <v>100371</v>
      </c>
    </row>
    <row r="91" spans="1:11" hidden="1" x14ac:dyDescent="0.25">
      <c r="A91" s="213"/>
      <c r="B91" s="189" t="s">
        <v>311</v>
      </c>
      <c r="C91" s="261"/>
      <c r="D91" s="217"/>
      <c r="E91" s="217"/>
      <c r="F91" s="217"/>
      <c r="G91" s="217"/>
      <c r="H91" s="218"/>
      <c r="I91" s="218"/>
      <c r="K91" s="207">
        <f t="shared" si="12"/>
        <v>69396</v>
      </c>
    </row>
    <row r="92" spans="1:11" hidden="1" x14ac:dyDescent="0.25">
      <c r="A92" s="213"/>
      <c r="B92" s="189" t="s">
        <v>312</v>
      </c>
      <c r="C92" s="217"/>
      <c r="D92" s="217"/>
      <c r="E92" s="217"/>
      <c r="F92" s="217"/>
      <c r="G92" s="217"/>
      <c r="H92" s="218"/>
      <c r="I92" s="218"/>
      <c r="K92" s="207">
        <f t="shared" si="12"/>
        <v>8499</v>
      </c>
    </row>
    <row r="93" spans="1:11" hidden="1" x14ac:dyDescent="0.25">
      <c r="A93" s="213"/>
      <c r="B93" s="189" t="s">
        <v>313</v>
      </c>
      <c r="C93" s="217"/>
      <c r="D93" s="217"/>
      <c r="E93" s="217"/>
      <c r="F93" s="217"/>
      <c r="G93" s="217"/>
      <c r="H93" s="218"/>
      <c r="I93" s="218"/>
      <c r="K93" s="207">
        <f t="shared" si="12"/>
        <v>232326</v>
      </c>
    </row>
    <row r="94" spans="1:11" hidden="1" x14ac:dyDescent="0.25">
      <c r="A94" s="213">
        <v>22</v>
      </c>
      <c r="B94" s="220" t="s">
        <v>10</v>
      </c>
      <c r="C94" s="215"/>
      <c r="D94" s="215"/>
      <c r="E94" s="215"/>
      <c r="F94" s="215"/>
      <c r="G94" s="215"/>
      <c r="H94" s="216"/>
      <c r="I94" s="216"/>
      <c r="K94" s="207">
        <f t="shared" si="12"/>
        <v>8354232</v>
      </c>
    </row>
    <row r="95" spans="1:11" hidden="1" x14ac:dyDescent="0.25">
      <c r="A95" s="213">
        <v>23</v>
      </c>
      <c r="B95" s="220" t="s">
        <v>24</v>
      </c>
      <c r="C95" s="215"/>
      <c r="D95" s="215"/>
      <c r="E95" s="215"/>
      <c r="F95" s="215"/>
      <c r="G95" s="215"/>
      <c r="H95" s="216"/>
      <c r="I95" s="216"/>
      <c r="K95" s="207">
        <f t="shared" si="12"/>
        <v>1003199</v>
      </c>
    </row>
    <row r="96" spans="1:11" hidden="1" x14ac:dyDescent="0.25">
      <c r="A96" s="213">
        <v>24</v>
      </c>
      <c r="B96" s="220" t="s">
        <v>25</v>
      </c>
      <c r="C96" s="215"/>
      <c r="D96" s="215"/>
      <c r="E96" s="215"/>
      <c r="F96" s="215"/>
      <c r="G96" s="215"/>
      <c r="H96" s="216"/>
      <c r="I96" s="216"/>
      <c r="K96" s="207">
        <f t="shared" si="12"/>
        <v>13982306</v>
      </c>
    </row>
    <row r="97" spans="1:11" hidden="1" x14ac:dyDescent="0.25">
      <c r="A97" s="222" t="s">
        <v>26</v>
      </c>
      <c r="B97" s="223" t="s">
        <v>27</v>
      </c>
      <c r="C97" s="225"/>
      <c r="D97" s="225"/>
      <c r="E97" s="225"/>
      <c r="F97" s="225"/>
      <c r="G97" s="225"/>
      <c r="H97" s="226"/>
      <c r="I97" s="226"/>
      <c r="K97" s="207">
        <f t="shared" si="12"/>
        <v>6973020</v>
      </c>
    </row>
    <row r="98" spans="1:11" hidden="1" x14ac:dyDescent="0.25">
      <c r="A98" s="228">
        <v>2401210</v>
      </c>
      <c r="B98" s="229" t="s">
        <v>337</v>
      </c>
      <c r="C98" s="231"/>
      <c r="D98" s="231"/>
      <c r="E98" s="231"/>
      <c r="F98" s="231"/>
      <c r="G98" s="231"/>
      <c r="H98" s="218"/>
      <c r="I98" s="218"/>
      <c r="K98" s="207">
        <f t="shared" si="12"/>
        <v>3075431</v>
      </c>
    </row>
    <row r="99" spans="1:11" hidden="1" x14ac:dyDescent="0.25">
      <c r="A99" s="228">
        <v>2401212</v>
      </c>
      <c r="B99" s="229" t="s">
        <v>339</v>
      </c>
      <c r="C99" s="231"/>
      <c r="D99" s="231"/>
      <c r="E99" s="231"/>
      <c r="F99" s="231"/>
      <c r="G99" s="231"/>
      <c r="H99" s="218"/>
      <c r="I99" s="218"/>
      <c r="K99" s="207">
        <f t="shared" si="12"/>
        <v>78925</v>
      </c>
    </row>
    <row r="100" spans="1:11" hidden="1" x14ac:dyDescent="0.25">
      <c r="A100" s="228">
        <v>2401222</v>
      </c>
      <c r="B100" s="229" t="s">
        <v>341</v>
      </c>
      <c r="C100" s="231"/>
      <c r="D100" s="231"/>
      <c r="E100" s="231"/>
      <c r="F100" s="231"/>
      <c r="G100" s="231"/>
      <c r="H100" s="218"/>
      <c r="I100" s="218"/>
      <c r="K100" s="207">
        <f t="shared" si="12"/>
        <v>2079813</v>
      </c>
    </row>
    <row r="101" spans="1:11" hidden="1" x14ac:dyDescent="0.25">
      <c r="A101" s="228">
        <v>2401223</v>
      </c>
      <c r="B101" s="229" t="s">
        <v>343</v>
      </c>
      <c r="C101" s="231"/>
      <c r="D101" s="231"/>
      <c r="E101" s="231"/>
      <c r="F101" s="231"/>
      <c r="G101" s="231"/>
      <c r="H101" s="218"/>
      <c r="I101" s="218"/>
      <c r="K101" s="207">
        <f>C38-C101</f>
        <v>1553681</v>
      </c>
    </row>
    <row r="102" spans="1:11" hidden="1" x14ac:dyDescent="0.25">
      <c r="A102" s="222" t="s">
        <v>48</v>
      </c>
      <c r="B102" s="223" t="s">
        <v>49</v>
      </c>
      <c r="C102" s="233"/>
      <c r="D102" s="233"/>
      <c r="E102" s="233"/>
      <c r="F102" s="233"/>
      <c r="G102" s="233"/>
      <c r="H102" s="216"/>
      <c r="I102" s="216"/>
      <c r="K102" s="207">
        <f t="shared" ref="K102:K108" si="13">C41-C102</f>
        <v>6871634</v>
      </c>
    </row>
    <row r="103" spans="1:11" hidden="1" x14ac:dyDescent="0.25">
      <c r="A103" s="228">
        <v>2403192</v>
      </c>
      <c r="B103" s="229" t="s">
        <v>349</v>
      </c>
      <c r="C103" s="231"/>
      <c r="D103" s="231"/>
      <c r="E103" s="231"/>
      <c r="F103" s="231"/>
      <c r="G103" s="231"/>
      <c r="H103" s="218"/>
      <c r="I103" s="218"/>
      <c r="K103" s="207">
        <f t="shared" si="13"/>
        <v>2474062</v>
      </c>
    </row>
    <row r="104" spans="1:11" hidden="1" x14ac:dyDescent="0.25">
      <c r="A104" s="228">
        <v>2403193</v>
      </c>
      <c r="B104" s="229" t="s">
        <v>351</v>
      </c>
      <c r="C104" s="231"/>
      <c r="D104" s="231"/>
      <c r="E104" s="231"/>
      <c r="F104" s="231"/>
      <c r="G104" s="231"/>
      <c r="H104" s="218"/>
      <c r="I104" s="218"/>
      <c r="K104" s="207">
        <f t="shared" si="13"/>
        <v>167205</v>
      </c>
    </row>
    <row r="105" spans="1:11" hidden="1" x14ac:dyDescent="0.25">
      <c r="A105" s="228">
        <v>2403194</v>
      </c>
      <c r="B105" s="229" t="s">
        <v>353</v>
      </c>
      <c r="C105" s="231"/>
      <c r="D105" s="231"/>
      <c r="E105" s="231"/>
      <c r="F105" s="231"/>
      <c r="G105" s="231"/>
      <c r="H105" s="218"/>
      <c r="I105" s="218"/>
      <c r="K105" s="207">
        <f t="shared" si="13"/>
        <v>277835</v>
      </c>
    </row>
    <row r="106" spans="1:11" hidden="1" x14ac:dyDescent="0.25">
      <c r="A106" s="228">
        <v>2403195</v>
      </c>
      <c r="B106" s="236" t="s">
        <v>376</v>
      </c>
      <c r="C106" s="231"/>
      <c r="D106" s="231"/>
      <c r="E106" s="231"/>
      <c r="F106" s="231"/>
      <c r="G106" s="231"/>
      <c r="H106" s="218"/>
      <c r="I106" s="218"/>
      <c r="K106" s="207">
        <f t="shared" si="13"/>
        <v>527109</v>
      </c>
    </row>
    <row r="107" spans="1:11" hidden="1" x14ac:dyDescent="0.25">
      <c r="A107" s="228">
        <v>2403196</v>
      </c>
      <c r="B107" s="229" t="s">
        <v>377</v>
      </c>
      <c r="C107" s="231"/>
      <c r="D107" s="231"/>
      <c r="E107" s="231"/>
      <c r="F107" s="231"/>
      <c r="G107" s="231"/>
      <c r="H107" s="216"/>
      <c r="I107" s="216"/>
      <c r="K107" s="207">
        <f t="shared" si="13"/>
        <v>1032737</v>
      </c>
    </row>
    <row r="108" spans="1:11" hidden="1" x14ac:dyDescent="0.25">
      <c r="A108" s="228" t="s">
        <v>378</v>
      </c>
      <c r="B108" s="229" t="s">
        <v>359</v>
      </c>
      <c r="C108" s="231"/>
      <c r="D108" s="231"/>
      <c r="E108" s="231"/>
      <c r="F108" s="231"/>
      <c r="G108" s="231"/>
      <c r="H108" s="216"/>
      <c r="I108" s="216"/>
      <c r="K108" s="207">
        <f t="shared" si="13"/>
        <v>375022</v>
      </c>
    </row>
    <row r="109" spans="1:11" hidden="1" x14ac:dyDescent="0.25">
      <c r="A109" s="213">
        <v>25</v>
      </c>
      <c r="B109" s="220" t="s">
        <v>63</v>
      </c>
      <c r="C109" s="233"/>
      <c r="D109" s="233"/>
      <c r="E109" s="233"/>
      <c r="F109" s="233"/>
      <c r="G109" s="233"/>
      <c r="H109" s="216"/>
      <c r="I109" s="216"/>
      <c r="K109" s="207">
        <f t="shared" ref="K109:K115" si="14">C52-C109</f>
        <v>1010249</v>
      </c>
    </row>
    <row r="110" spans="1:11" hidden="1" x14ac:dyDescent="0.25">
      <c r="A110" s="239">
        <v>29</v>
      </c>
      <c r="B110" s="240" t="s">
        <v>11</v>
      </c>
      <c r="C110" s="225"/>
      <c r="D110" s="225"/>
      <c r="E110" s="225"/>
      <c r="F110" s="225"/>
      <c r="G110" s="225"/>
      <c r="H110" s="216"/>
      <c r="I110" s="216"/>
      <c r="K110" s="207">
        <f t="shared" si="14"/>
        <v>1613303</v>
      </c>
    </row>
    <row r="111" spans="1:11" hidden="1" x14ac:dyDescent="0.25">
      <c r="A111" s="241" t="s">
        <v>12</v>
      </c>
      <c r="B111" s="242" t="s">
        <v>13</v>
      </c>
      <c r="C111" s="231"/>
      <c r="D111" s="231"/>
      <c r="E111" s="231"/>
      <c r="F111" s="231"/>
      <c r="G111" s="231"/>
      <c r="H111" s="218"/>
      <c r="I111" s="218"/>
      <c r="K111" s="207">
        <f t="shared" si="14"/>
        <v>79725</v>
      </c>
    </row>
    <row r="112" spans="1:11" hidden="1" x14ac:dyDescent="0.25">
      <c r="A112" s="241" t="s">
        <v>14</v>
      </c>
      <c r="B112" s="242" t="s">
        <v>15</v>
      </c>
      <c r="C112" s="231"/>
      <c r="D112" s="231"/>
      <c r="E112" s="231"/>
      <c r="F112" s="231"/>
      <c r="G112" s="231"/>
      <c r="H112" s="218"/>
      <c r="I112" s="218"/>
      <c r="K112" s="207">
        <f t="shared" si="14"/>
        <v>1191327</v>
      </c>
    </row>
    <row r="113" spans="1:11" hidden="1" x14ac:dyDescent="0.25">
      <c r="A113" s="228" t="s">
        <v>16</v>
      </c>
      <c r="B113" s="229" t="s">
        <v>17</v>
      </c>
      <c r="C113" s="231"/>
      <c r="D113" s="231"/>
      <c r="E113" s="231"/>
      <c r="F113" s="231"/>
      <c r="G113" s="231"/>
      <c r="H113" s="218"/>
      <c r="I113" s="218"/>
      <c r="K113" s="207">
        <f t="shared" si="14"/>
        <v>55307</v>
      </c>
    </row>
    <row r="114" spans="1:11" hidden="1" x14ac:dyDescent="0.25">
      <c r="A114" s="228" t="s">
        <v>18</v>
      </c>
      <c r="B114" s="229" t="s">
        <v>19</v>
      </c>
      <c r="C114" s="231"/>
      <c r="D114" s="231"/>
      <c r="E114" s="231"/>
      <c r="F114" s="231"/>
      <c r="G114" s="231"/>
      <c r="H114" s="218"/>
      <c r="I114" s="218"/>
      <c r="K114" s="207">
        <f t="shared" si="14"/>
        <v>96709</v>
      </c>
    </row>
    <row r="115" spans="1:11" hidden="1" x14ac:dyDescent="0.25">
      <c r="A115" s="228" t="s">
        <v>20</v>
      </c>
      <c r="B115" s="229" t="s">
        <v>21</v>
      </c>
      <c r="C115" s="231"/>
      <c r="D115" s="231"/>
      <c r="E115" s="231"/>
      <c r="F115" s="231"/>
      <c r="G115" s="231"/>
      <c r="H115" s="218"/>
      <c r="I115" s="218"/>
      <c r="K115" s="207">
        <f t="shared" si="14"/>
        <v>190235</v>
      </c>
    </row>
    <row r="116" spans="1:11" hidden="1" x14ac:dyDescent="0.25">
      <c r="A116" s="213">
        <v>31</v>
      </c>
      <c r="B116" s="220" t="s">
        <v>367</v>
      </c>
      <c r="C116" s="233"/>
      <c r="D116" s="233"/>
      <c r="E116" s="233"/>
      <c r="F116" s="233"/>
      <c r="G116" s="233"/>
      <c r="H116" s="216"/>
      <c r="I116" s="216"/>
      <c r="K116" s="207">
        <f>C61-C116</f>
        <v>4184365</v>
      </c>
    </row>
    <row r="117" spans="1:11" hidden="1" x14ac:dyDescent="0.25">
      <c r="A117" s="228" t="s">
        <v>64</v>
      </c>
      <c r="B117" s="229" t="s">
        <v>65</v>
      </c>
      <c r="C117" s="231"/>
      <c r="D117" s="231"/>
      <c r="E117" s="231"/>
      <c r="F117" s="231"/>
      <c r="G117" s="231"/>
      <c r="H117" s="218"/>
      <c r="I117" s="218"/>
      <c r="K117" s="207">
        <f>C62-C117</f>
        <v>4184365</v>
      </c>
    </row>
    <row r="118" spans="1:11" hidden="1" x14ac:dyDescent="0.25">
      <c r="A118" s="244">
        <v>33</v>
      </c>
      <c r="B118" s="245" t="s">
        <v>66</v>
      </c>
      <c r="C118" s="246"/>
      <c r="D118" s="246"/>
      <c r="E118" s="246"/>
      <c r="F118" s="246"/>
      <c r="G118" s="246"/>
      <c r="H118" s="247"/>
      <c r="I118" s="247"/>
      <c r="K118" s="207">
        <f>C63-C118</f>
        <v>8296651</v>
      </c>
    </row>
    <row r="119" spans="1:11" hidden="1" x14ac:dyDescent="0.25">
      <c r="A119" s="248" t="s">
        <v>368</v>
      </c>
      <c r="B119" s="223" t="s">
        <v>27</v>
      </c>
      <c r="C119" s="225"/>
      <c r="D119" s="225"/>
      <c r="E119" s="225"/>
      <c r="F119" s="225"/>
      <c r="G119" s="225"/>
      <c r="H119" s="226"/>
      <c r="I119" s="226"/>
      <c r="K119" s="207">
        <f>C64-C119</f>
        <v>704697</v>
      </c>
    </row>
    <row r="120" spans="1:11" hidden="1" x14ac:dyDescent="0.25">
      <c r="A120" s="251">
        <v>3301001</v>
      </c>
      <c r="B120" s="229" t="s">
        <v>370</v>
      </c>
      <c r="C120" s="231"/>
      <c r="D120" s="231"/>
      <c r="E120" s="231"/>
      <c r="F120" s="231"/>
      <c r="G120" s="231"/>
      <c r="H120" s="218"/>
      <c r="I120" s="218"/>
      <c r="K120" s="207">
        <f>C65-C120</f>
        <v>704697</v>
      </c>
    </row>
    <row r="121" spans="1:11" hidden="1" x14ac:dyDescent="0.25">
      <c r="A121" s="239" t="s">
        <v>67</v>
      </c>
      <c r="B121" s="240" t="s">
        <v>49</v>
      </c>
      <c r="C121" s="233"/>
      <c r="D121" s="233"/>
      <c r="E121" s="233"/>
      <c r="F121" s="233"/>
      <c r="G121" s="233"/>
      <c r="H121" s="216"/>
      <c r="I121" s="216"/>
      <c r="K121" s="207">
        <f t="shared" ref="K121:K126" si="15">C68-C121</f>
        <v>3168284</v>
      </c>
    </row>
    <row r="122" spans="1:11" hidden="1" x14ac:dyDescent="0.25">
      <c r="A122" s="251">
        <v>3303005</v>
      </c>
      <c r="B122" s="229" t="s">
        <v>374</v>
      </c>
      <c r="C122" s="231"/>
      <c r="D122" s="231"/>
      <c r="E122" s="231"/>
      <c r="F122" s="231"/>
      <c r="G122" s="231"/>
      <c r="H122" s="218"/>
      <c r="I122" s="218"/>
      <c r="K122" s="207">
        <f t="shared" si="15"/>
        <v>700403</v>
      </c>
    </row>
    <row r="123" spans="1:11" hidden="1" x14ac:dyDescent="0.25">
      <c r="A123" s="251">
        <v>3303006</v>
      </c>
      <c r="B123" s="229" t="s">
        <v>370</v>
      </c>
      <c r="C123" s="231"/>
      <c r="D123" s="231"/>
      <c r="E123" s="231"/>
      <c r="F123" s="231"/>
      <c r="G123" s="231"/>
      <c r="H123" s="218"/>
      <c r="I123" s="218"/>
      <c r="K123" s="207">
        <f t="shared" si="15"/>
        <v>525084</v>
      </c>
    </row>
    <row r="124" spans="1:11" hidden="1" x14ac:dyDescent="0.25">
      <c r="A124" s="251">
        <v>3303007</v>
      </c>
      <c r="B124" s="229" t="s">
        <v>379</v>
      </c>
      <c r="C124" s="231"/>
      <c r="D124" s="231"/>
      <c r="E124" s="231"/>
      <c r="F124" s="231"/>
      <c r="G124" s="231"/>
      <c r="H124" s="218"/>
      <c r="I124" s="218"/>
      <c r="K124" s="207">
        <f t="shared" si="15"/>
        <v>1942797</v>
      </c>
    </row>
    <row r="125" spans="1:11" hidden="1" x14ac:dyDescent="0.25">
      <c r="A125" s="239">
        <v>34</v>
      </c>
      <c r="B125" s="240" t="s">
        <v>70</v>
      </c>
      <c r="C125" s="233"/>
      <c r="D125" s="233"/>
      <c r="E125" s="233"/>
      <c r="F125" s="233"/>
      <c r="G125" s="233"/>
      <c r="H125" s="218"/>
      <c r="I125" s="218"/>
      <c r="K125" s="207">
        <f t="shared" si="15"/>
        <v>3491668</v>
      </c>
    </row>
    <row r="126" spans="1:11" hidden="1" x14ac:dyDescent="0.25">
      <c r="A126" s="251" t="s">
        <v>71</v>
      </c>
      <c r="B126" s="252" t="s">
        <v>72</v>
      </c>
      <c r="C126" s="231"/>
      <c r="D126" s="231"/>
      <c r="E126" s="231"/>
      <c r="F126" s="231"/>
      <c r="G126" s="231"/>
      <c r="H126" s="218"/>
      <c r="I126" s="218"/>
      <c r="K126" s="207">
        <f t="shared" si="15"/>
        <v>3491668</v>
      </c>
    </row>
    <row r="127" spans="1:11" hidden="1" x14ac:dyDescent="0.25">
      <c r="A127" s="262">
        <v>35</v>
      </c>
      <c r="B127" s="263" t="s">
        <v>380</v>
      </c>
      <c r="C127" s="264"/>
      <c r="D127" s="264"/>
      <c r="E127" s="264"/>
      <c r="F127" s="264"/>
      <c r="G127" s="264"/>
      <c r="H127" s="218"/>
      <c r="I127" s="218"/>
      <c r="K127" s="207" t="e">
        <f>#REF!-C127</f>
        <v>#REF!</v>
      </c>
    </row>
    <row r="128" spans="1:11" hidden="1" x14ac:dyDescent="0.25">
      <c r="A128" s="253"/>
      <c r="B128" s="254" t="s">
        <v>22</v>
      </c>
      <c r="C128" s="255"/>
      <c r="D128" s="255"/>
      <c r="E128" s="255"/>
      <c r="F128" s="255"/>
      <c r="G128" s="255"/>
      <c r="H128" s="256"/>
      <c r="I128" s="256"/>
    </row>
    <row r="129" spans="3:3" hidden="1" x14ac:dyDescent="0.25"/>
    <row r="130" spans="3:3" hidden="1" x14ac:dyDescent="0.25"/>
    <row r="131" spans="3:3" x14ac:dyDescent="0.25">
      <c r="C131" s="23"/>
    </row>
    <row r="132" spans="3:3" x14ac:dyDescent="0.25">
      <c r="C132" s="23"/>
    </row>
    <row r="133" spans="3:3" x14ac:dyDescent="0.25">
      <c r="C133" s="207"/>
    </row>
    <row r="136" spans="3:3" x14ac:dyDescent="0.25">
      <c r="C136" s="265"/>
    </row>
  </sheetData>
  <mergeCells count="2">
    <mergeCell ref="A2:I2"/>
    <mergeCell ref="A3:I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2:K39"/>
  <sheetViews>
    <sheetView zoomScale="90" zoomScaleNormal="90" workbookViewId="0">
      <selection activeCell="A2" sqref="A2:I2"/>
    </sheetView>
  </sheetViews>
  <sheetFormatPr baseColWidth="10" defaultRowHeight="15" x14ac:dyDescent="0.25"/>
  <cols>
    <col min="1" max="1" width="11.42578125" style="205"/>
    <col min="2" max="2" width="47.85546875" style="205" bestFit="1" customWidth="1"/>
    <col min="3" max="4" width="14.7109375" style="205" customWidth="1"/>
    <col min="5" max="5" width="15.28515625" style="205" bestFit="1" customWidth="1"/>
    <col min="6" max="6" width="14.7109375" style="205" customWidth="1"/>
    <col min="7" max="7" width="15.42578125" style="205" bestFit="1" customWidth="1"/>
    <col min="8" max="9" width="14.85546875" style="266" customWidth="1"/>
    <col min="10" max="16384" width="11.42578125" style="205"/>
  </cols>
  <sheetData>
    <row r="2" spans="1:9" x14ac:dyDescent="0.25">
      <c r="A2" s="292" t="s">
        <v>381</v>
      </c>
      <c r="B2" s="292"/>
      <c r="C2" s="292"/>
      <c r="D2" s="292"/>
      <c r="E2" s="292"/>
      <c r="F2" s="292"/>
      <c r="G2" s="292"/>
      <c r="H2" s="292"/>
      <c r="I2" s="292"/>
    </row>
    <row r="3" spans="1:9" x14ac:dyDescent="0.25">
      <c r="A3" s="293" t="s">
        <v>388</v>
      </c>
      <c r="B3" s="293"/>
      <c r="C3" s="293"/>
      <c r="D3" s="293"/>
      <c r="E3" s="293"/>
      <c r="F3" s="293"/>
      <c r="G3" s="293"/>
      <c r="H3" s="293"/>
      <c r="I3" s="293"/>
    </row>
    <row r="4" spans="1:9" x14ac:dyDescent="0.25">
      <c r="A4" s="171" t="s">
        <v>270</v>
      </c>
      <c r="B4"/>
      <c r="C4"/>
      <c r="D4"/>
      <c r="E4"/>
      <c r="F4"/>
      <c r="G4"/>
      <c r="H4"/>
      <c r="I4"/>
    </row>
    <row r="5" spans="1:9" ht="25.5" x14ac:dyDescent="0.25">
      <c r="A5" s="1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3" t="s">
        <v>6</v>
      </c>
      <c r="H5" s="4" t="s">
        <v>7</v>
      </c>
      <c r="I5" s="4" t="s">
        <v>8</v>
      </c>
    </row>
    <row r="6" spans="1:9" hidden="1" x14ac:dyDescent="0.25">
      <c r="A6" s="5" t="s">
        <v>281</v>
      </c>
      <c r="B6" s="6" t="s">
        <v>25</v>
      </c>
      <c r="C6" s="7">
        <f>+C7</f>
        <v>0</v>
      </c>
      <c r="D6" s="7">
        <f>+D7</f>
        <v>0</v>
      </c>
      <c r="E6" s="7">
        <f>+C6-D6</f>
        <v>0</v>
      </c>
      <c r="F6" s="7">
        <f>+F7</f>
        <v>0</v>
      </c>
      <c r="G6" s="7">
        <f>+D6-F6</f>
        <v>0</v>
      </c>
      <c r="H6" s="8" t="e">
        <f>+D6/C6</f>
        <v>#DIV/0!</v>
      </c>
      <c r="I6" s="8" t="e">
        <f>+F6/C6</f>
        <v>#DIV/0!</v>
      </c>
    </row>
    <row r="7" spans="1:9" hidden="1" x14ac:dyDescent="0.25">
      <c r="A7" s="175" t="s">
        <v>282</v>
      </c>
      <c r="B7" s="176" t="s">
        <v>283</v>
      </c>
      <c r="C7" s="177">
        <f>+C8</f>
        <v>0</v>
      </c>
      <c r="D7" s="177">
        <f>+D8</f>
        <v>0</v>
      </c>
      <c r="E7" s="66">
        <f t="shared" ref="E7:E16" si="0">+C7-D7</f>
        <v>0</v>
      </c>
      <c r="F7" s="177">
        <f>+F8</f>
        <v>0</v>
      </c>
      <c r="G7" s="177">
        <f t="shared" ref="G7:G16" si="1">+D7-F7</f>
        <v>0</v>
      </c>
      <c r="H7" s="27" t="e">
        <f t="shared" ref="H7:H16" si="2">+D7/C7</f>
        <v>#DIV/0!</v>
      </c>
      <c r="I7" s="27" t="e">
        <f t="shared" ref="I7:I16" si="3">+F7/C7</f>
        <v>#DIV/0!</v>
      </c>
    </row>
    <row r="8" spans="1:9" hidden="1" x14ac:dyDescent="0.25">
      <c r="A8" s="30" t="s">
        <v>286</v>
      </c>
      <c r="B8" s="179" t="s">
        <v>287</v>
      </c>
      <c r="C8" s="9">
        <v>0</v>
      </c>
      <c r="D8" s="9">
        <v>0</v>
      </c>
      <c r="E8" s="65">
        <f t="shared" si="0"/>
        <v>0</v>
      </c>
      <c r="F8" s="9">
        <v>0</v>
      </c>
      <c r="G8" s="9">
        <f t="shared" si="1"/>
        <v>0</v>
      </c>
      <c r="H8" s="10" t="e">
        <f t="shared" si="2"/>
        <v>#DIV/0!</v>
      </c>
      <c r="I8" s="10" t="e">
        <f t="shared" si="3"/>
        <v>#DIV/0!</v>
      </c>
    </row>
    <row r="9" spans="1:9" x14ac:dyDescent="0.25">
      <c r="A9" s="172" t="s">
        <v>290</v>
      </c>
      <c r="B9" s="173" t="s">
        <v>291</v>
      </c>
      <c r="C9" s="174">
        <f>SUM(C10:C11)</f>
        <v>9823</v>
      </c>
      <c r="D9" s="174">
        <f>SUM(D10:D11)</f>
        <v>0</v>
      </c>
      <c r="E9" s="7">
        <f t="shared" si="0"/>
        <v>9823</v>
      </c>
      <c r="F9" s="174">
        <f>SUM(F10:F11)</f>
        <v>0</v>
      </c>
      <c r="G9" s="174">
        <f t="shared" si="1"/>
        <v>0</v>
      </c>
      <c r="H9" s="8">
        <f t="shared" si="2"/>
        <v>0</v>
      </c>
      <c r="I9" s="8">
        <f t="shared" si="3"/>
        <v>0</v>
      </c>
    </row>
    <row r="10" spans="1:9" hidden="1" x14ac:dyDescent="0.25">
      <c r="A10" s="30" t="s">
        <v>292</v>
      </c>
      <c r="B10" s="179" t="s">
        <v>293</v>
      </c>
      <c r="C10" s="9">
        <v>0</v>
      </c>
      <c r="D10" s="9">
        <v>0</v>
      </c>
      <c r="E10" s="65">
        <f t="shared" si="0"/>
        <v>0</v>
      </c>
      <c r="F10" s="9">
        <v>0</v>
      </c>
      <c r="G10" s="9">
        <f t="shared" si="1"/>
        <v>0</v>
      </c>
      <c r="H10" s="10" t="e">
        <f t="shared" si="2"/>
        <v>#DIV/0!</v>
      </c>
      <c r="I10" s="10" t="e">
        <f t="shared" si="3"/>
        <v>#DIV/0!</v>
      </c>
    </row>
    <row r="11" spans="1:9" x14ac:dyDescent="0.25">
      <c r="A11" s="30" t="s">
        <v>296</v>
      </c>
      <c r="B11" s="179" t="s">
        <v>297</v>
      </c>
      <c r="C11" s="9">
        <v>9823</v>
      </c>
      <c r="D11" s="9">
        <v>0</v>
      </c>
      <c r="E11" s="65">
        <f t="shared" si="0"/>
        <v>9823</v>
      </c>
      <c r="F11" s="9">
        <v>0</v>
      </c>
      <c r="G11" s="9">
        <f t="shared" si="1"/>
        <v>0</v>
      </c>
      <c r="H11" s="10">
        <f t="shared" si="2"/>
        <v>0</v>
      </c>
      <c r="I11" s="10">
        <f t="shared" si="3"/>
        <v>0</v>
      </c>
    </row>
    <row r="12" spans="1:9" x14ac:dyDescent="0.25">
      <c r="A12" s="172" t="s">
        <v>271</v>
      </c>
      <c r="B12" s="173" t="s">
        <v>272</v>
      </c>
      <c r="C12" s="174">
        <f>+C13</f>
        <v>7081831</v>
      </c>
      <c r="D12" s="174">
        <f>+D13</f>
        <v>7128894</v>
      </c>
      <c r="E12" s="7">
        <f t="shared" si="0"/>
        <v>-47063</v>
      </c>
      <c r="F12" s="174">
        <f>+F13</f>
        <v>7128894</v>
      </c>
      <c r="G12" s="174">
        <f t="shared" si="1"/>
        <v>0</v>
      </c>
      <c r="H12" s="8">
        <f t="shared" si="2"/>
        <v>1.0066455977274804</v>
      </c>
      <c r="I12" s="8">
        <f t="shared" si="3"/>
        <v>1.0066455977274804</v>
      </c>
    </row>
    <row r="13" spans="1:9" x14ac:dyDescent="0.25">
      <c r="A13" s="175" t="s">
        <v>273</v>
      </c>
      <c r="B13" s="176" t="s">
        <v>274</v>
      </c>
      <c r="C13" s="177">
        <f>+C14+C15</f>
        <v>7081831</v>
      </c>
      <c r="D13" s="177">
        <f>+D14+D15</f>
        <v>7128894</v>
      </c>
      <c r="E13" s="66">
        <f t="shared" si="0"/>
        <v>-47063</v>
      </c>
      <c r="F13" s="177">
        <f>+F14+F15</f>
        <v>7128894</v>
      </c>
      <c r="G13" s="177">
        <f t="shared" si="1"/>
        <v>0</v>
      </c>
      <c r="H13" s="27">
        <f t="shared" si="2"/>
        <v>1.0066455977274804</v>
      </c>
      <c r="I13" s="27">
        <f t="shared" si="3"/>
        <v>1.0066455977274804</v>
      </c>
    </row>
    <row r="14" spans="1:9" x14ac:dyDescent="0.25">
      <c r="A14" s="30" t="s">
        <v>275</v>
      </c>
      <c r="B14" s="179" t="s">
        <v>276</v>
      </c>
      <c r="C14" s="9">
        <v>1731391</v>
      </c>
      <c r="D14" s="9">
        <v>1698362</v>
      </c>
      <c r="E14" s="65">
        <f t="shared" si="0"/>
        <v>33029</v>
      </c>
      <c r="F14" s="9">
        <v>1698362</v>
      </c>
      <c r="G14" s="9">
        <f t="shared" si="1"/>
        <v>0</v>
      </c>
      <c r="H14" s="10">
        <f t="shared" si="2"/>
        <v>0.98092343092923551</v>
      </c>
      <c r="I14" s="10">
        <f t="shared" si="3"/>
        <v>0.98092343092923551</v>
      </c>
    </row>
    <row r="15" spans="1:9" x14ac:dyDescent="0.25">
      <c r="A15" s="30" t="s">
        <v>277</v>
      </c>
      <c r="B15" s="179" t="s">
        <v>278</v>
      </c>
      <c r="C15" s="9">
        <v>5350440</v>
      </c>
      <c r="D15" s="9">
        <v>5430532</v>
      </c>
      <c r="E15" s="65">
        <f t="shared" si="0"/>
        <v>-80092</v>
      </c>
      <c r="F15" s="9">
        <v>5430532</v>
      </c>
      <c r="G15" s="9">
        <f t="shared" si="1"/>
        <v>0</v>
      </c>
      <c r="H15" s="10">
        <f t="shared" si="2"/>
        <v>1.0149692361749687</v>
      </c>
      <c r="I15" s="10">
        <f t="shared" si="3"/>
        <v>1.0149692361749687</v>
      </c>
    </row>
    <row r="16" spans="1:9" x14ac:dyDescent="0.25">
      <c r="A16" s="180" t="s">
        <v>279</v>
      </c>
      <c r="B16" s="181" t="s">
        <v>280</v>
      </c>
      <c r="C16" s="174">
        <v>739551</v>
      </c>
      <c r="D16" s="174">
        <v>0</v>
      </c>
      <c r="E16" s="13">
        <f t="shared" si="0"/>
        <v>739551</v>
      </c>
      <c r="F16" s="174">
        <v>0</v>
      </c>
      <c r="G16" s="174">
        <f t="shared" si="1"/>
        <v>0</v>
      </c>
      <c r="H16" s="8">
        <f t="shared" si="2"/>
        <v>0</v>
      </c>
      <c r="I16" s="8">
        <f t="shared" si="3"/>
        <v>0</v>
      </c>
    </row>
    <row r="17" spans="1:11" x14ac:dyDescent="0.25">
      <c r="A17" s="91"/>
      <c r="B17" s="182" t="s">
        <v>22</v>
      </c>
      <c r="C17" s="183">
        <f>+C6+C9+C12+C16</f>
        <v>7831205</v>
      </c>
      <c r="D17" s="183">
        <f t="shared" ref="D17:G17" si="4">+D6+D9+D12+D16</f>
        <v>7128894</v>
      </c>
      <c r="E17" s="183">
        <f t="shared" si="4"/>
        <v>702311</v>
      </c>
      <c r="F17" s="183">
        <f t="shared" si="4"/>
        <v>7128894</v>
      </c>
      <c r="G17" s="183">
        <f t="shared" si="4"/>
        <v>0</v>
      </c>
      <c r="H17" s="21">
        <f>+D17/C17</f>
        <v>0.91031891005279519</v>
      </c>
      <c r="I17" s="21">
        <f>+F17/C17</f>
        <v>0.91031891005279519</v>
      </c>
    </row>
    <row r="18" spans="1:11" x14ac:dyDescent="0.25">
      <c r="C18" s="207"/>
      <c r="D18" s="207"/>
    </row>
    <row r="19" spans="1:11" x14ac:dyDescent="0.25">
      <c r="A19" s="235" t="s">
        <v>320</v>
      </c>
      <c r="C19" s="207"/>
      <c r="D19" s="207"/>
    </row>
    <row r="20" spans="1:11" ht="25.5" x14ac:dyDescent="0.25">
      <c r="A20" s="209" t="s">
        <v>0</v>
      </c>
      <c r="B20" s="210" t="s">
        <v>1</v>
      </c>
      <c r="C20" s="267" t="s">
        <v>2</v>
      </c>
      <c r="D20" s="210" t="s">
        <v>3</v>
      </c>
      <c r="E20" s="210" t="s">
        <v>4</v>
      </c>
      <c r="F20" s="210" t="s">
        <v>5</v>
      </c>
      <c r="G20" s="211" t="s">
        <v>6</v>
      </c>
      <c r="H20" s="212" t="s">
        <v>7</v>
      </c>
      <c r="I20" s="212" t="s">
        <v>8</v>
      </c>
    </row>
    <row r="21" spans="1:11" x14ac:dyDescent="0.25">
      <c r="A21" s="213">
        <v>21</v>
      </c>
      <c r="B21" s="214" t="s">
        <v>9</v>
      </c>
      <c r="C21" s="215">
        <f>SUM(C22:C27)</f>
        <v>1731391</v>
      </c>
      <c r="D21" s="215">
        <f>SUM(D22:D27)</f>
        <v>1720076</v>
      </c>
      <c r="E21" s="215">
        <f>C21-D21</f>
        <v>11315</v>
      </c>
      <c r="F21" s="215">
        <f>SUM(F22:F27)</f>
        <v>1720076</v>
      </c>
      <c r="G21" s="215">
        <f>D21-F21</f>
        <v>0</v>
      </c>
      <c r="H21" s="268">
        <f>D21/C21</f>
        <v>0.99346479218154649</v>
      </c>
      <c r="I21" s="268">
        <f>F21/C21</f>
        <v>0.99346479218154649</v>
      </c>
    </row>
    <row r="22" spans="1:11" x14ac:dyDescent="0.25">
      <c r="A22" s="213"/>
      <c r="B22" s="189" t="s">
        <v>308</v>
      </c>
      <c r="C22" s="217">
        <f>1731391-SUM(C23:C27)</f>
        <v>1625116</v>
      </c>
      <c r="D22" s="217">
        <f>1720076-SUM(D23:D27)</f>
        <v>1617572</v>
      </c>
      <c r="E22" s="217">
        <f t="shared" ref="E22:E36" si="5">C22-D22</f>
        <v>7544</v>
      </c>
      <c r="F22" s="217">
        <f>1720076-SUM(F23:F27)</f>
        <v>1617572</v>
      </c>
      <c r="G22" s="217">
        <f t="shared" ref="G22:G36" si="6">D22-F22</f>
        <v>0</v>
      </c>
      <c r="H22" s="218">
        <f t="shared" ref="H22:H37" si="7">D22/C22</f>
        <v>0.99535786983821462</v>
      </c>
      <c r="I22" s="218">
        <f t="shared" ref="I22:I37" si="8">F22/C22</f>
        <v>0.99535786983821462</v>
      </c>
    </row>
    <row r="23" spans="1:11" x14ac:dyDescent="0.25">
      <c r="A23" s="213"/>
      <c r="B23" s="189" t="s">
        <v>309</v>
      </c>
      <c r="C23" s="217">
        <v>16112</v>
      </c>
      <c r="D23" s="217">
        <v>16112</v>
      </c>
      <c r="E23" s="217">
        <f t="shared" si="5"/>
        <v>0</v>
      </c>
      <c r="F23" s="217">
        <v>16112</v>
      </c>
      <c r="G23" s="217">
        <f t="shared" si="6"/>
        <v>0</v>
      </c>
      <c r="H23" s="218">
        <f t="shared" si="7"/>
        <v>1</v>
      </c>
      <c r="I23" s="218">
        <f t="shared" si="8"/>
        <v>1</v>
      </c>
    </row>
    <row r="24" spans="1:11" x14ac:dyDescent="0.25">
      <c r="A24" s="213"/>
      <c r="B24" s="189" t="s">
        <v>310</v>
      </c>
      <c r="C24" s="217">
        <v>1961</v>
      </c>
      <c r="D24" s="217">
        <v>0</v>
      </c>
      <c r="E24" s="217">
        <f t="shared" si="5"/>
        <v>1961</v>
      </c>
      <c r="F24" s="217">
        <v>0</v>
      </c>
      <c r="G24" s="217">
        <f t="shared" si="6"/>
        <v>0</v>
      </c>
      <c r="H24" s="218">
        <f t="shared" si="7"/>
        <v>0</v>
      </c>
      <c r="I24" s="218">
        <f t="shared" si="8"/>
        <v>0</v>
      </c>
    </row>
    <row r="25" spans="1:11" x14ac:dyDescent="0.25">
      <c r="A25" s="213"/>
      <c r="B25" s="189" t="s">
        <v>311</v>
      </c>
      <c r="C25" s="217">
        <v>21472</v>
      </c>
      <c r="D25" s="217">
        <v>20561</v>
      </c>
      <c r="E25" s="217">
        <f t="shared" si="5"/>
        <v>911</v>
      </c>
      <c r="F25" s="217">
        <v>20561</v>
      </c>
      <c r="G25" s="217">
        <f t="shared" si="6"/>
        <v>0</v>
      </c>
      <c r="H25" s="218">
        <f t="shared" si="7"/>
        <v>0.95757265275707903</v>
      </c>
      <c r="I25" s="218">
        <f t="shared" si="8"/>
        <v>0.95757265275707903</v>
      </c>
      <c r="J25" s="207"/>
      <c r="K25" s="207"/>
    </row>
    <row r="26" spans="1:11" hidden="1" x14ac:dyDescent="0.25">
      <c r="A26" s="213"/>
      <c r="B26" s="189" t="s">
        <v>312</v>
      </c>
      <c r="C26" s="217"/>
      <c r="D26" s="217"/>
      <c r="E26" s="217">
        <f t="shared" si="5"/>
        <v>0</v>
      </c>
      <c r="F26" s="217"/>
      <c r="G26" s="217">
        <f t="shared" si="6"/>
        <v>0</v>
      </c>
      <c r="H26" s="218" t="e">
        <f t="shared" si="7"/>
        <v>#DIV/0!</v>
      </c>
      <c r="I26" s="218" t="e">
        <f t="shared" si="8"/>
        <v>#DIV/0!</v>
      </c>
    </row>
    <row r="27" spans="1:11" x14ac:dyDescent="0.25">
      <c r="A27" s="213"/>
      <c r="B27" s="189" t="s">
        <v>313</v>
      </c>
      <c r="C27" s="217">
        <v>66730</v>
      </c>
      <c r="D27" s="217">
        <v>65831</v>
      </c>
      <c r="E27" s="217">
        <f t="shared" si="5"/>
        <v>899</v>
      </c>
      <c r="F27" s="217">
        <v>65831</v>
      </c>
      <c r="G27" s="217">
        <f t="shared" si="6"/>
        <v>0</v>
      </c>
      <c r="H27" s="218">
        <f t="shared" si="7"/>
        <v>0.98652779859133821</v>
      </c>
      <c r="I27" s="218">
        <f t="shared" si="8"/>
        <v>0.98652779859133821</v>
      </c>
    </row>
    <row r="28" spans="1:11" x14ac:dyDescent="0.25">
      <c r="A28" s="213">
        <v>22</v>
      </c>
      <c r="B28" s="220" t="s">
        <v>10</v>
      </c>
      <c r="C28" s="215">
        <v>5295542</v>
      </c>
      <c r="D28" s="215">
        <v>5294072</v>
      </c>
      <c r="E28" s="215">
        <f t="shared" si="5"/>
        <v>1470</v>
      </c>
      <c r="F28" s="215">
        <v>5294072</v>
      </c>
      <c r="G28" s="215">
        <f t="shared" si="6"/>
        <v>0</v>
      </c>
      <c r="H28" s="268">
        <f t="shared" si="7"/>
        <v>0.9997224080179139</v>
      </c>
      <c r="I28" s="268">
        <f t="shared" si="8"/>
        <v>0.9997224080179139</v>
      </c>
      <c r="J28" s="207"/>
      <c r="K28" s="207"/>
    </row>
    <row r="29" spans="1:11" x14ac:dyDescent="0.25">
      <c r="A29" s="213">
        <v>25</v>
      </c>
      <c r="B29" s="220" t="s">
        <v>63</v>
      </c>
      <c r="C29" s="215">
        <v>450241</v>
      </c>
      <c r="D29" s="215">
        <v>448949</v>
      </c>
      <c r="E29" s="215">
        <f t="shared" si="5"/>
        <v>1292</v>
      </c>
      <c r="F29" s="215">
        <v>448949</v>
      </c>
      <c r="G29" s="215">
        <f t="shared" si="6"/>
        <v>0</v>
      </c>
      <c r="H29" s="268">
        <f t="shared" si="7"/>
        <v>0.99713042570534449</v>
      </c>
      <c r="I29" s="268">
        <f t="shared" si="8"/>
        <v>0.99713042570534449</v>
      </c>
    </row>
    <row r="30" spans="1:11" x14ac:dyDescent="0.25">
      <c r="A30" s="269">
        <v>29</v>
      </c>
      <c r="B30" s="240" t="s">
        <v>11</v>
      </c>
      <c r="C30" s="233">
        <f>SUM(C31:C34)</f>
        <v>53607</v>
      </c>
      <c r="D30" s="233">
        <f>SUM(D31:D34)</f>
        <v>9757</v>
      </c>
      <c r="E30" s="233">
        <f t="shared" si="5"/>
        <v>43850</v>
      </c>
      <c r="F30" s="233">
        <f>SUM(F31:F34)</f>
        <v>9757</v>
      </c>
      <c r="G30" s="233">
        <f t="shared" si="6"/>
        <v>0</v>
      </c>
      <c r="H30" s="270">
        <f t="shared" si="7"/>
        <v>0.18200981215139814</v>
      </c>
      <c r="I30" s="270">
        <f t="shared" si="8"/>
        <v>0.18200981215139814</v>
      </c>
    </row>
    <row r="31" spans="1:11" x14ac:dyDescent="0.25">
      <c r="A31" s="228" t="s">
        <v>14</v>
      </c>
      <c r="B31" s="242" t="s">
        <v>15</v>
      </c>
      <c r="C31" s="271">
        <v>10945</v>
      </c>
      <c r="D31" s="271">
        <v>7800</v>
      </c>
      <c r="E31" s="271">
        <f t="shared" si="5"/>
        <v>3145</v>
      </c>
      <c r="F31" s="271">
        <v>7800</v>
      </c>
      <c r="G31" s="271">
        <f t="shared" si="6"/>
        <v>0</v>
      </c>
      <c r="H31" s="272">
        <f t="shared" si="7"/>
        <v>0.71265417999086345</v>
      </c>
      <c r="I31" s="272">
        <f t="shared" si="8"/>
        <v>0.71265417999086345</v>
      </c>
    </row>
    <row r="32" spans="1:11" hidden="1" x14ac:dyDescent="0.25">
      <c r="A32" s="228" t="s">
        <v>16</v>
      </c>
      <c r="B32" s="229" t="s">
        <v>17</v>
      </c>
      <c r="C32" s="271"/>
      <c r="D32" s="271"/>
      <c r="E32" s="271">
        <f t="shared" si="5"/>
        <v>0</v>
      </c>
      <c r="F32" s="271"/>
      <c r="G32" s="271">
        <f t="shared" si="6"/>
        <v>0</v>
      </c>
      <c r="H32" s="273" t="e">
        <f t="shared" si="7"/>
        <v>#DIV/0!</v>
      </c>
      <c r="I32" s="273" t="e">
        <f t="shared" si="8"/>
        <v>#DIV/0!</v>
      </c>
    </row>
    <row r="33" spans="1:9" x14ac:dyDescent="0.25">
      <c r="A33" s="228" t="s">
        <v>18</v>
      </c>
      <c r="B33" s="229" t="s">
        <v>19</v>
      </c>
      <c r="C33" s="271">
        <v>25654</v>
      </c>
      <c r="D33" s="271">
        <v>0</v>
      </c>
      <c r="E33" s="271">
        <f t="shared" si="5"/>
        <v>25654</v>
      </c>
      <c r="F33" s="271">
        <v>0</v>
      </c>
      <c r="G33" s="271">
        <f t="shared" si="6"/>
        <v>0</v>
      </c>
      <c r="H33" s="273">
        <f t="shared" si="7"/>
        <v>0</v>
      </c>
      <c r="I33" s="273">
        <f t="shared" si="8"/>
        <v>0</v>
      </c>
    </row>
    <row r="34" spans="1:9" x14ac:dyDescent="0.25">
      <c r="A34" s="228" t="s">
        <v>20</v>
      </c>
      <c r="B34" s="229" t="s">
        <v>21</v>
      </c>
      <c r="C34" s="271">
        <v>17008</v>
      </c>
      <c r="D34" s="271">
        <v>1957</v>
      </c>
      <c r="E34" s="271">
        <f t="shared" si="5"/>
        <v>15051</v>
      </c>
      <c r="F34" s="271">
        <v>1957</v>
      </c>
      <c r="G34" s="271">
        <f t="shared" si="6"/>
        <v>0</v>
      </c>
      <c r="H34" s="273">
        <f t="shared" si="7"/>
        <v>0.11506349952963311</v>
      </c>
      <c r="I34" s="273">
        <f t="shared" si="8"/>
        <v>0.11506349952963311</v>
      </c>
    </row>
    <row r="35" spans="1:9" x14ac:dyDescent="0.25">
      <c r="A35" s="213">
        <v>34</v>
      </c>
      <c r="B35" s="220" t="s">
        <v>70</v>
      </c>
      <c r="C35" s="215">
        <f>+C36</f>
        <v>300424</v>
      </c>
      <c r="D35" s="215">
        <f>+D36</f>
        <v>300424</v>
      </c>
      <c r="E35" s="215">
        <f t="shared" si="5"/>
        <v>0</v>
      </c>
      <c r="F35" s="215">
        <f>+F36</f>
        <v>300424</v>
      </c>
      <c r="G35" s="215">
        <f t="shared" si="6"/>
        <v>0</v>
      </c>
      <c r="H35" s="268">
        <f t="shared" si="7"/>
        <v>1</v>
      </c>
      <c r="I35" s="268">
        <f t="shared" si="8"/>
        <v>1</v>
      </c>
    </row>
    <row r="36" spans="1:9" x14ac:dyDescent="0.25">
      <c r="A36" s="228" t="s">
        <v>71</v>
      </c>
      <c r="B36" s="229" t="s">
        <v>72</v>
      </c>
      <c r="C36" s="274">
        <v>300424</v>
      </c>
      <c r="D36" s="274">
        <v>300424</v>
      </c>
      <c r="E36" s="274">
        <f t="shared" si="5"/>
        <v>0</v>
      </c>
      <c r="F36" s="274">
        <v>300424</v>
      </c>
      <c r="G36" s="274">
        <f t="shared" si="6"/>
        <v>0</v>
      </c>
      <c r="H36" s="275">
        <f t="shared" si="7"/>
        <v>1</v>
      </c>
      <c r="I36" s="275">
        <f t="shared" si="8"/>
        <v>1</v>
      </c>
    </row>
    <row r="37" spans="1:9" x14ac:dyDescent="0.25">
      <c r="A37" s="253"/>
      <c r="B37" s="254" t="s">
        <v>22</v>
      </c>
      <c r="C37" s="255">
        <f>+C21+C28+C29+C30+C35</f>
        <v>7831205</v>
      </c>
      <c r="D37" s="255">
        <f t="shared" ref="D37:G37" si="9">+D21+D28+D29+D30+D35</f>
        <v>7773278</v>
      </c>
      <c r="E37" s="255">
        <f t="shared" si="9"/>
        <v>57927</v>
      </c>
      <c r="F37" s="255">
        <f t="shared" si="9"/>
        <v>7773278</v>
      </c>
      <c r="G37" s="255">
        <f t="shared" si="9"/>
        <v>0</v>
      </c>
      <c r="H37" s="276">
        <f t="shared" si="7"/>
        <v>0.9926030540638382</v>
      </c>
      <c r="I37" s="276">
        <f t="shared" si="8"/>
        <v>0.9926030540638382</v>
      </c>
    </row>
    <row r="39" spans="1:9" x14ac:dyDescent="0.25">
      <c r="C39" s="207"/>
    </row>
  </sheetData>
  <mergeCells count="2">
    <mergeCell ref="A2:I2"/>
    <mergeCell ref="A3:I3"/>
  </mergeCells>
  <pageMargins left="0.7" right="0.7" top="0.75" bottom="0.75" header="0.3" footer="0.3"/>
  <pageSetup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</sheetPr>
  <dimension ref="A2:K40"/>
  <sheetViews>
    <sheetView zoomScale="90" zoomScaleNormal="90" workbookViewId="0">
      <selection activeCell="A2" sqref="A2:I2"/>
    </sheetView>
  </sheetViews>
  <sheetFormatPr baseColWidth="10" defaultRowHeight="15" x14ac:dyDescent="0.25"/>
  <cols>
    <col min="1" max="1" width="11.42578125" style="205"/>
    <col min="2" max="2" width="44.42578125" style="205" bestFit="1" customWidth="1"/>
    <col min="3" max="4" width="14.7109375" style="205" customWidth="1"/>
    <col min="5" max="5" width="15.28515625" style="205" bestFit="1" customWidth="1"/>
    <col min="6" max="6" width="14.7109375" style="205" customWidth="1"/>
    <col min="7" max="7" width="15.42578125" style="205" bestFit="1" customWidth="1"/>
    <col min="8" max="9" width="14.85546875" style="266" customWidth="1"/>
    <col min="10" max="16384" width="11.42578125" style="205"/>
  </cols>
  <sheetData>
    <row r="2" spans="1:9" x14ac:dyDescent="0.25">
      <c r="A2" s="292" t="s">
        <v>382</v>
      </c>
      <c r="B2" s="292"/>
      <c r="C2" s="292"/>
      <c r="D2" s="292"/>
      <c r="E2" s="292"/>
      <c r="F2" s="292"/>
      <c r="G2" s="292"/>
      <c r="H2" s="292"/>
      <c r="I2" s="292"/>
    </row>
    <row r="3" spans="1:9" x14ac:dyDescent="0.25">
      <c r="A3" s="293" t="s">
        <v>388</v>
      </c>
      <c r="B3" s="293"/>
      <c r="C3" s="293"/>
      <c r="D3" s="293"/>
      <c r="E3" s="293"/>
      <c r="F3" s="293"/>
      <c r="G3" s="293"/>
      <c r="H3" s="293"/>
      <c r="I3" s="293"/>
    </row>
    <row r="4" spans="1:9" x14ac:dyDescent="0.25">
      <c r="A4" s="171" t="s">
        <v>270</v>
      </c>
      <c r="B4"/>
      <c r="C4" s="23"/>
      <c r="D4" s="23"/>
      <c r="E4"/>
      <c r="F4" s="23"/>
      <c r="G4"/>
      <c r="H4"/>
      <c r="I4"/>
    </row>
    <row r="5" spans="1:9" ht="25.5" x14ac:dyDescent="0.25">
      <c r="A5" s="1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3" t="s">
        <v>6</v>
      </c>
      <c r="H5" s="4" t="s">
        <v>7</v>
      </c>
      <c r="I5" s="4" t="s">
        <v>8</v>
      </c>
    </row>
    <row r="6" spans="1:9" x14ac:dyDescent="0.25">
      <c r="A6" s="172" t="s">
        <v>290</v>
      </c>
      <c r="B6" s="173" t="s">
        <v>291</v>
      </c>
      <c r="C6" s="174">
        <f>+C8+C7</f>
        <v>34694</v>
      </c>
      <c r="D6" s="174">
        <f t="shared" ref="D6:G6" si="0">+D8+D7</f>
        <v>0</v>
      </c>
      <c r="E6" s="174">
        <f t="shared" si="0"/>
        <v>34694</v>
      </c>
      <c r="F6" s="174">
        <f t="shared" si="0"/>
        <v>0</v>
      </c>
      <c r="G6" s="174">
        <f t="shared" si="0"/>
        <v>0</v>
      </c>
      <c r="H6" s="8">
        <f t="shared" ref="H6:H13" si="1">+D6/C6</f>
        <v>0</v>
      </c>
      <c r="I6" s="8">
        <f t="shared" ref="I6:I13" si="2">+F6/C6</f>
        <v>0</v>
      </c>
    </row>
    <row r="7" spans="1:9" x14ac:dyDescent="0.25">
      <c r="A7" s="30" t="s">
        <v>294</v>
      </c>
      <c r="B7" s="179" t="s">
        <v>297</v>
      </c>
      <c r="C7" s="9">
        <v>20710</v>
      </c>
      <c r="D7" s="9">
        <v>0</v>
      </c>
      <c r="E7" s="65">
        <f>+C7-D7</f>
        <v>20710</v>
      </c>
      <c r="F7" s="9">
        <v>0</v>
      </c>
      <c r="G7" s="9">
        <f>+D7-F7</f>
        <v>0</v>
      </c>
      <c r="H7" s="10">
        <f t="shared" ref="H7" si="3">+D7/C7</f>
        <v>0</v>
      </c>
      <c r="I7" s="10">
        <f t="shared" ref="I7" si="4">+F7/C7</f>
        <v>0</v>
      </c>
    </row>
    <row r="8" spans="1:9" x14ac:dyDescent="0.25">
      <c r="A8" s="30" t="s">
        <v>296</v>
      </c>
      <c r="B8" s="179" t="s">
        <v>297</v>
      </c>
      <c r="C8" s="9">
        <v>13984</v>
      </c>
      <c r="D8" s="9">
        <v>0</v>
      </c>
      <c r="E8" s="65">
        <f>+C8-D8</f>
        <v>13984</v>
      </c>
      <c r="F8" s="9">
        <v>0</v>
      </c>
      <c r="G8" s="9">
        <f>+D8-F8</f>
        <v>0</v>
      </c>
      <c r="H8" s="10">
        <f t="shared" si="1"/>
        <v>0</v>
      </c>
      <c r="I8" s="10">
        <f t="shared" si="2"/>
        <v>0</v>
      </c>
    </row>
    <row r="9" spans="1:9" x14ac:dyDescent="0.25">
      <c r="A9" s="172" t="s">
        <v>271</v>
      </c>
      <c r="B9" s="173" t="s">
        <v>272</v>
      </c>
      <c r="C9" s="174">
        <f>+C10</f>
        <v>7760407</v>
      </c>
      <c r="D9" s="174">
        <f>+D10</f>
        <v>7340134</v>
      </c>
      <c r="E9" s="7">
        <f t="shared" ref="E9" si="5">+C9-D9</f>
        <v>420273</v>
      </c>
      <c r="F9" s="174">
        <f>+F10</f>
        <v>7340134</v>
      </c>
      <c r="G9" s="174">
        <f t="shared" ref="G9" si="6">+D9-F9</f>
        <v>0</v>
      </c>
      <c r="H9" s="8">
        <f t="shared" si="1"/>
        <v>0.94584394864856958</v>
      </c>
      <c r="I9" s="8">
        <f t="shared" si="2"/>
        <v>0.94584394864856958</v>
      </c>
    </row>
    <row r="10" spans="1:9" x14ac:dyDescent="0.25">
      <c r="A10" s="175" t="s">
        <v>273</v>
      </c>
      <c r="B10" s="176" t="s">
        <v>274</v>
      </c>
      <c r="C10" s="177">
        <f>+C11+C12</f>
        <v>7760407</v>
      </c>
      <c r="D10" s="177">
        <f>+D11+D12</f>
        <v>7340134</v>
      </c>
      <c r="E10" s="66">
        <f t="shared" ref="E10:E13" si="7">+C10-D10</f>
        <v>420273</v>
      </c>
      <c r="F10" s="177">
        <f>+F11+F12</f>
        <v>7340134</v>
      </c>
      <c r="G10" s="177">
        <f t="shared" ref="G10:G13" si="8">+D10-F10</f>
        <v>0</v>
      </c>
      <c r="H10" s="27">
        <f t="shared" si="1"/>
        <v>0.94584394864856958</v>
      </c>
      <c r="I10" s="27">
        <f t="shared" si="2"/>
        <v>0.94584394864856958</v>
      </c>
    </row>
    <row r="11" spans="1:9" x14ac:dyDescent="0.25">
      <c r="A11" s="30" t="s">
        <v>275</v>
      </c>
      <c r="B11" s="179" t="s">
        <v>276</v>
      </c>
      <c r="C11" s="9">
        <v>5820777</v>
      </c>
      <c r="D11" s="9">
        <v>5752807</v>
      </c>
      <c r="E11" s="65">
        <f t="shared" si="7"/>
        <v>67970</v>
      </c>
      <c r="F11" s="9">
        <v>5752807</v>
      </c>
      <c r="G11" s="9">
        <f t="shared" si="8"/>
        <v>0</v>
      </c>
      <c r="H11" s="10">
        <f t="shared" si="1"/>
        <v>0.98832286479966502</v>
      </c>
      <c r="I11" s="10">
        <f t="shared" si="2"/>
        <v>0.98832286479966502</v>
      </c>
    </row>
    <row r="12" spans="1:9" x14ac:dyDescent="0.25">
      <c r="A12" s="30" t="s">
        <v>277</v>
      </c>
      <c r="B12" s="179" t="s">
        <v>278</v>
      </c>
      <c r="C12" s="9">
        <v>1939630</v>
      </c>
      <c r="D12" s="9">
        <v>1587327</v>
      </c>
      <c r="E12" s="65">
        <f t="shared" si="7"/>
        <v>352303</v>
      </c>
      <c r="F12" s="9">
        <v>1587327</v>
      </c>
      <c r="G12" s="9">
        <f t="shared" si="8"/>
        <v>0</v>
      </c>
      <c r="H12" s="10">
        <f t="shared" si="1"/>
        <v>0.81836587390378579</v>
      </c>
      <c r="I12" s="10">
        <f t="shared" si="2"/>
        <v>0.81836587390378579</v>
      </c>
    </row>
    <row r="13" spans="1:9" x14ac:dyDescent="0.25">
      <c r="A13" s="180" t="s">
        <v>279</v>
      </c>
      <c r="B13" s="181" t="s">
        <v>280</v>
      </c>
      <c r="C13" s="174">
        <v>157181</v>
      </c>
      <c r="D13" s="174">
        <v>0</v>
      </c>
      <c r="E13" s="13">
        <f t="shared" si="7"/>
        <v>157181</v>
      </c>
      <c r="F13" s="174">
        <v>0</v>
      </c>
      <c r="G13" s="174">
        <f t="shared" si="8"/>
        <v>0</v>
      </c>
      <c r="H13" s="8">
        <f t="shared" si="1"/>
        <v>0</v>
      </c>
      <c r="I13" s="8">
        <f t="shared" si="2"/>
        <v>0</v>
      </c>
    </row>
    <row r="14" spans="1:9" x14ac:dyDescent="0.25">
      <c r="A14" s="91"/>
      <c r="B14" s="182" t="s">
        <v>22</v>
      </c>
      <c r="C14" s="183">
        <f>+C6+C9+C13</f>
        <v>7952282</v>
      </c>
      <c r="D14" s="183">
        <f t="shared" ref="D14:G14" si="9">+D6+D9+D13</f>
        <v>7340134</v>
      </c>
      <c r="E14" s="183">
        <f t="shared" si="9"/>
        <v>612148</v>
      </c>
      <c r="F14" s="183">
        <f t="shared" si="9"/>
        <v>7340134</v>
      </c>
      <c r="G14" s="183">
        <f t="shared" si="9"/>
        <v>0</v>
      </c>
      <c r="H14" s="21">
        <f>+D14/C14</f>
        <v>0.92302234754753421</v>
      </c>
      <c r="I14" s="21">
        <f>+F14/C14</f>
        <v>0.92302234754753421</v>
      </c>
    </row>
    <row r="15" spans="1:9" x14ac:dyDescent="0.25">
      <c r="C15" s="207"/>
      <c r="D15" s="207"/>
    </row>
    <row r="16" spans="1:9" x14ac:dyDescent="0.25">
      <c r="A16" s="235" t="s">
        <v>320</v>
      </c>
      <c r="C16" s="207"/>
      <c r="D16" s="207"/>
    </row>
    <row r="17" spans="1:11" ht="25.5" x14ac:dyDescent="0.25">
      <c r="A17" s="209" t="s">
        <v>0</v>
      </c>
      <c r="B17" s="210" t="s">
        <v>1</v>
      </c>
      <c r="C17" s="267" t="s">
        <v>2</v>
      </c>
      <c r="D17" s="210" t="s">
        <v>3</v>
      </c>
      <c r="E17" s="210" t="s">
        <v>4</v>
      </c>
      <c r="F17" s="210" t="s">
        <v>5</v>
      </c>
      <c r="G17" s="211" t="s">
        <v>6</v>
      </c>
      <c r="H17" s="212" t="s">
        <v>7</v>
      </c>
      <c r="I17" s="212" t="s">
        <v>8</v>
      </c>
    </row>
    <row r="18" spans="1:11" x14ac:dyDescent="0.25">
      <c r="A18" s="213">
        <v>21</v>
      </c>
      <c r="B18" s="214" t="s">
        <v>9</v>
      </c>
      <c r="C18" s="215">
        <f>SUM(C19:C24)</f>
        <v>5811377</v>
      </c>
      <c r="D18" s="215">
        <f>SUM(D19:D24)</f>
        <v>5768959</v>
      </c>
      <c r="E18" s="215">
        <f>C18-D18</f>
        <v>42418</v>
      </c>
      <c r="F18" s="215">
        <f>SUM(F19:F24)</f>
        <v>5768959</v>
      </c>
      <c r="G18" s="215">
        <f>D18-F18</f>
        <v>0</v>
      </c>
      <c r="H18" s="268">
        <f>D18/C18</f>
        <v>0.99270086934645607</v>
      </c>
      <c r="I18" s="268">
        <f>F18/C18</f>
        <v>0.99270086934645607</v>
      </c>
    </row>
    <row r="19" spans="1:11" x14ac:dyDescent="0.25">
      <c r="A19" s="213"/>
      <c r="B19" s="189" t="s">
        <v>308</v>
      </c>
      <c r="C19" s="217">
        <f>5811377-SUM(C20:C24)</f>
        <v>5007716</v>
      </c>
      <c r="D19" s="217">
        <f>5768959-SUM(D20:D24)</f>
        <v>4974635</v>
      </c>
      <c r="E19" s="217">
        <f t="shared" ref="E19:E35" si="10">C19-D19</f>
        <v>33081</v>
      </c>
      <c r="F19" s="217">
        <f>5768959-SUM(F20:F24)</f>
        <v>4974635</v>
      </c>
      <c r="G19" s="277">
        <f t="shared" ref="G19:G35" si="11">D19-F19</f>
        <v>0</v>
      </c>
      <c r="H19" s="218">
        <f t="shared" ref="H19:H36" si="12">D19/C19</f>
        <v>0.99339399438786069</v>
      </c>
      <c r="I19" s="218">
        <f t="shared" ref="I19:I36" si="13">F19/C19</f>
        <v>0.99339399438786069</v>
      </c>
    </row>
    <row r="20" spans="1:11" x14ac:dyDescent="0.25">
      <c r="A20" s="213"/>
      <c r="B20" s="189" t="s">
        <v>309</v>
      </c>
      <c r="C20" s="217">
        <v>12604</v>
      </c>
      <c r="D20" s="217">
        <v>12604</v>
      </c>
      <c r="E20" s="217">
        <f t="shared" si="10"/>
        <v>0</v>
      </c>
      <c r="F20" s="217">
        <v>12604</v>
      </c>
      <c r="G20" s="277">
        <f t="shared" si="11"/>
        <v>0</v>
      </c>
      <c r="H20" s="218">
        <f t="shared" si="12"/>
        <v>1</v>
      </c>
      <c r="I20" s="218">
        <f t="shared" si="13"/>
        <v>1</v>
      </c>
    </row>
    <row r="21" spans="1:11" x14ac:dyDescent="0.25">
      <c r="A21" s="213"/>
      <c r="B21" s="189" t="s">
        <v>310</v>
      </c>
      <c r="C21" s="217">
        <v>23629</v>
      </c>
      <c r="D21" s="217">
        <v>14407</v>
      </c>
      <c r="E21" s="217">
        <f t="shared" si="10"/>
        <v>9222</v>
      </c>
      <c r="F21" s="217">
        <v>14407</v>
      </c>
      <c r="G21" s="277">
        <f t="shared" si="11"/>
        <v>0</v>
      </c>
      <c r="H21" s="218">
        <f t="shared" si="12"/>
        <v>0.60971687333361546</v>
      </c>
      <c r="I21" s="218">
        <f t="shared" si="13"/>
        <v>0.60971687333361546</v>
      </c>
    </row>
    <row r="22" spans="1:11" x14ac:dyDescent="0.25">
      <c r="A22" s="213"/>
      <c r="B22" s="189" t="s">
        <v>311</v>
      </c>
      <c r="C22" s="217">
        <v>30652</v>
      </c>
      <c r="D22" s="217">
        <v>30582</v>
      </c>
      <c r="E22" s="217">
        <f t="shared" si="10"/>
        <v>70</v>
      </c>
      <c r="F22" s="217">
        <v>30582</v>
      </c>
      <c r="G22" s="277">
        <f t="shared" si="11"/>
        <v>0</v>
      </c>
      <c r="H22" s="218">
        <f t="shared" si="12"/>
        <v>0.99771629909956938</v>
      </c>
      <c r="I22" s="218">
        <f t="shared" si="13"/>
        <v>0.99771629909956938</v>
      </c>
      <c r="J22" s="207"/>
      <c r="K22" s="207"/>
    </row>
    <row r="23" spans="1:11" hidden="1" x14ac:dyDescent="0.25">
      <c r="A23" s="213"/>
      <c r="B23" s="189" t="s">
        <v>312</v>
      </c>
      <c r="C23" s="217"/>
      <c r="D23" s="217"/>
      <c r="E23" s="217">
        <f t="shared" si="10"/>
        <v>0</v>
      </c>
      <c r="F23" s="217"/>
      <c r="G23" s="277">
        <f t="shared" si="11"/>
        <v>0</v>
      </c>
      <c r="H23" s="218" t="s">
        <v>85</v>
      </c>
      <c r="I23" s="218" t="s">
        <v>85</v>
      </c>
    </row>
    <row r="24" spans="1:11" x14ac:dyDescent="0.25">
      <c r="A24" s="213"/>
      <c r="B24" s="189" t="s">
        <v>313</v>
      </c>
      <c r="C24" s="217">
        <v>736776</v>
      </c>
      <c r="D24" s="217">
        <v>736731</v>
      </c>
      <c r="E24" s="217">
        <f t="shared" si="10"/>
        <v>45</v>
      </c>
      <c r="F24" s="217">
        <v>736731</v>
      </c>
      <c r="G24" s="277">
        <f t="shared" si="11"/>
        <v>0</v>
      </c>
      <c r="H24" s="218">
        <f t="shared" si="12"/>
        <v>0.99993892309195742</v>
      </c>
      <c r="I24" s="218">
        <f t="shared" si="13"/>
        <v>0.99993892309195742</v>
      </c>
    </row>
    <row r="25" spans="1:11" x14ac:dyDescent="0.25">
      <c r="A25" s="213">
        <v>22</v>
      </c>
      <c r="B25" s="220" t="s">
        <v>10</v>
      </c>
      <c r="C25" s="215">
        <v>1801264</v>
      </c>
      <c r="D25" s="215">
        <v>1681344</v>
      </c>
      <c r="E25" s="215">
        <f t="shared" si="10"/>
        <v>119920</v>
      </c>
      <c r="F25" s="215">
        <v>1681344</v>
      </c>
      <c r="G25" s="215">
        <f t="shared" si="11"/>
        <v>0</v>
      </c>
      <c r="H25" s="268">
        <f t="shared" si="12"/>
        <v>0.93342452855328262</v>
      </c>
      <c r="I25" s="268">
        <f t="shared" si="13"/>
        <v>0.93342452855328262</v>
      </c>
      <c r="J25" s="207"/>
      <c r="K25" s="207"/>
    </row>
    <row r="26" spans="1:11" x14ac:dyDescent="0.25">
      <c r="A26" s="213">
        <v>24</v>
      </c>
      <c r="B26" s="220" t="s">
        <v>25</v>
      </c>
      <c r="C26" s="215">
        <f>+C27</f>
        <v>85926</v>
      </c>
      <c r="D26" s="215">
        <f>+D27</f>
        <v>80936</v>
      </c>
      <c r="E26" s="215">
        <f>+C26-D26</f>
        <v>4990</v>
      </c>
      <c r="F26" s="215">
        <f>+F27</f>
        <v>80936</v>
      </c>
      <c r="G26" s="215">
        <f>+D26-F26</f>
        <v>0</v>
      </c>
      <c r="H26" s="268">
        <f t="shared" si="12"/>
        <v>0.94192677420105675</v>
      </c>
      <c r="I26" s="268">
        <f t="shared" si="13"/>
        <v>0.94192677420105675</v>
      </c>
      <c r="J26" s="207"/>
      <c r="K26" s="207"/>
    </row>
    <row r="27" spans="1:11" x14ac:dyDescent="0.25">
      <c r="A27" s="222" t="s">
        <v>48</v>
      </c>
      <c r="B27" s="223" t="s">
        <v>383</v>
      </c>
      <c r="C27" s="278">
        <f>+C28</f>
        <v>85926</v>
      </c>
      <c r="D27" s="278">
        <f>+D28</f>
        <v>80936</v>
      </c>
      <c r="E27" s="278">
        <f>+C27-D27</f>
        <v>4990</v>
      </c>
      <c r="F27" s="278">
        <f>+F28</f>
        <v>80936</v>
      </c>
      <c r="G27" s="278">
        <f>+D27-F27</f>
        <v>0</v>
      </c>
      <c r="H27" s="279">
        <f t="shared" si="12"/>
        <v>0.94192677420105675</v>
      </c>
      <c r="I27" s="279">
        <f t="shared" si="13"/>
        <v>0.94192677420105675</v>
      </c>
      <c r="J27" s="207"/>
      <c r="K27" s="207"/>
    </row>
    <row r="28" spans="1:11" x14ac:dyDescent="0.25">
      <c r="A28" s="228" t="s">
        <v>384</v>
      </c>
      <c r="B28" s="229" t="s">
        <v>385</v>
      </c>
      <c r="C28" s="277">
        <v>85926</v>
      </c>
      <c r="D28" s="277">
        <v>80936</v>
      </c>
      <c r="E28" s="277">
        <f>+C28-D28</f>
        <v>4990</v>
      </c>
      <c r="F28" s="277">
        <v>80936</v>
      </c>
      <c r="G28" s="277">
        <f>+D28-F28</f>
        <v>0</v>
      </c>
      <c r="H28" s="218">
        <f t="shared" si="12"/>
        <v>0.94192677420105675</v>
      </c>
      <c r="I28" s="218">
        <f t="shared" si="13"/>
        <v>0.94192677420105675</v>
      </c>
      <c r="J28" s="207"/>
      <c r="K28" s="207"/>
    </row>
    <row r="29" spans="1:11" x14ac:dyDescent="0.25">
      <c r="A29" s="213" t="s">
        <v>170</v>
      </c>
      <c r="B29" s="220" t="s">
        <v>63</v>
      </c>
      <c r="C29" s="215">
        <v>13984</v>
      </c>
      <c r="D29" s="215">
        <v>13984</v>
      </c>
      <c r="E29" s="215">
        <f t="shared" si="10"/>
        <v>0</v>
      </c>
      <c r="F29" s="215">
        <v>13984</v>
      </c>
      <c r="G29" s="215">
        <f t="shared" si="11"/>
        <v>0</v>
      </c>
      <c r="H29" s="268">
        <f t="shared" si="12"/>
        <v>1</v>
      </c>
      <c r="I29" s="268">
        <f t="shared" si="13"/>
        <v>1</v>
      </c>
      <c r="J29" s="207"/>
      <c r="K29" s="207"/>
    </row>
    <row r="30" spans="1:11" x14ac:dyDescent="0.25">
      <c r="A30" s="269">
        <v>29</v>
      </c>
      <c r="B30" s="240" t="s">
        <v>11</v>
      </c>
      <c r="C30" s="233">
        <f>SUM(C31:C33)</f>
        <v>82550</v>
      </c>
      <c r="D30" s="233">
        <f>SUM(D31:D33)</f>
        <v>77644</v>
      </c>
      <c r="E30" s="233">
        <f t="shared" si="10"/>
        <v>4906</v>
      </c>
      <c r="F30" s="233">
        <f>SUM(F31:F33)</f>
        <v>77644</v>
      </c>
      <c r="G30" s="215">
        <f t="shared" si="11"/>
        <v>0</v>
      </c>
      <c r="H30" s="270">
        <f t="shared" si="12"/>
        <v>0.94056935190793456</v>
      </c>
      <c r="I30" s="270">
        <f t="shared" si="13"/>
        <v>0.94056935190793456</v>
      </c>
    </row>
    <row r="31" spans="1:11" x14ac:dyDescent="0.25">
      <c r="A31" s="228" t="s">
        <v>14</v>
      </c>
      <c r="B31" s="242" t="s">
        <v>15</v>
      </c>
      <c r="C31" s="271">
        <v>17260</v>
      </c>
      <c r="D31" s="271">
        <v>13276</v>
      </c>
      <c r="E31" s="271">
        <f t="shared" si="10"/>
        <v>3984</v>
      </c>
      <c r="F31" s="271">
        <v>13276</v>
      </c>
      <c r="G31" s="277">
        <f t="shared" si="11"/>
        <v>0</v>
      </c>
      <c r="H31" s="272">
        <f t="shared" si="12"/>
        <v>0.76917728852838929</v>
      </c>
      <c r="I31" s="272">
        <f t="shared" si="13"/>
        <v>0.76917728852838929</v>
      </c>
    </row>
    <row r="32" spans="1:11" x14ac:dyDescent="0.25">
      <c r="A32" s="228" t="s">
        <v>18</v>
      </c>
      <c r="B32" s="229" t="s">
        <v>19</v>
      </c>
      <c r="C32" s="271">
        <v>38274</v>
      </c>
      <c r="D32" s="271">
        <v>38164</v>
      </c>
      <c r="E32" s="271">
        <f t="shared" si="10"/>
        <v>110</v>
      </c>
      <c r="F32" s="271">
        <v>38164</v>
      </c>
      <c r="G32" s="277">
        <f t="shared" si="11"/>
        <v>0</v>
      </c>
      <c r="H32" s="273">
        <f t="shared" si="12"/>
        <v>0.99712598630924387</v>
      </c>
      <c r="I32" s="273">
        <f t="shared" si="13"/>
        <v>0.99712598630924387</v>
      </c>
    </row>
    <row r="33" spans="1:9" x14ac:dyDescent="0.25">
      <c r="A33" s="228" t="s">
        <v>20</v>
      </c>
      <c r="B33" s="229" t="s">
        <v>21</v>
      </c>
      <c r="C33" s="271">
        <v>27016</v>
      </c>
      <c r="D33" s="271">
        <v>26204</v>
      </c>
      <c r="E33" s="271">
        <f t="shared" si="10"/>
        <v>812</v>
      </c>
      <c r="F33" s="271">
        <v>26204</v>
      </c>
      <c r="G33" s="277">
        <f t="shared" si="11"/>
        <v>0</v>
      </c>
      <c r="H33" s="273">
        <f t="shared" si="12"/>
        <v>0.96994373704471426</v>
      </c>
      <c r="I33" s="273">
        <f t="shared" si="13"/>
        <v>0.96994373704471426</v>
      </c>
    </row>
    <row r="34" spans="1:9" x14ac:dyDescent="0.25">
      <c r="A34" s="213">
        <v>34</v>
      </c>
      <c r="B34" s="220" t="s">
        <v>70</v>
      </c>
      <c r="C34" s="215">
        <f>+C35</f>
        <v>157181</v>
      </c>
      <c r="D34" s="215">
        <f>+D35</f>
        <v>157182</v>
      </c>
      <c r="E34" s="215">
        <f t="shared" si="10"/>
        <v>-1</v>
      </c>
      <c r="F34" s="215">
        <f>+F35</f>
        <v>157182</v>
      </c>
      <c r="G34" s="215">
        <f t="shared" si="11"/>
        <v>0</v>
      </c>
      <c r="H34" s="268">
        <f t="shared" si="12"/>
        <v>1.0000063620921105</v>
      </c>
      <c r="I34" s="268">
        <f t="shared" si="13"/>
        <v>1.0000063620921105</v>
      </c>
    </row>
    <row r="35" spans="1:9" x14ac:dyDescent="0.25">
      <c r="A35" s="228" t="s">
        <v>71</v>
      </c>
      <c r="B35" s="229" t="s">
        <v>72</v>
      </c>
      <c r="C35" s="274">
        <v>157181</v>
      </c>
      <c r="D35" s="274">
        <v>157182</v>
      </c>
      <c r="E35" s="274">
        <f t="shared" si="10"/>
        <v>-1</v>
      </c>
      <c r="F35" s="274">
        <v>157182</v>
      </c>
      <c r="G35" s="277">
        <f t="shared" si="11"/>
        <v>0</v>
      </c>
      <c r="H35" s="275">
        <f t="shared" si="12"/>
        <v>1.0000063620921105</v>
      </c>
      <c r="I35" s="275">
        <f t="shared" si="13"/>
        <v>1.0000063620921105</v>
      </c>
    </row>
    <row r="36" spans="1:9" x14ac:dyDescent="0.25">
      <c r="A36" s="253"/>
      <c r="B36" s="254" t="s">
        <v>22</v>
      </c>
      <c r="C36" s="255">
        <f>+C18+C25++C29+C30+C34+C26</f>
        <v>7952282</v>
      </c>
      <c r="D36" s="255">
        <f t="shared" ref="D36:G36" si="14">+D18+D25++D29+D30+D34+D26</f>
        <v>7780049</v>
      </c>
      <c r="E36" s="255">
        <f t="shared" si="14"/>
        <v>172233</v>
      </c>
      <c r="F36" s="255">
        <f t="shared" si="14"/>
        <v>7780049</v>
      </c>
      <c r="G36" s="255">
        <f t="shared" si="14"/>
        <v>0</v>
      </c>
      <c r="H36" s="276">
        <f t="shared" si="12"/>
        <v>0.97834168858699933</v>
      </c>
      <c r="I36" s="276">
        <f t="shared" si="13"/>
        <v>0.97834168858699933</v>
      </c>
    </row>
    <row r="37" spans="1:9" x14ac:dyDescent="0.25">
      <c r="A37" s="257"/>
      <c r="B37" s="280"/>
      <c r="C37" s="281"/>
      <c r="D37" s="258"/>
      <c r="E37" s="258"/>
      <c r="F37" s="258"/>
      <c r="G37" s="258"/>
    </row>
    <row r="38" spans="1:9" x14ac:dyDescent="0.25">
      <c r="A38" s="257"/>
      <c r="B38" s="280"/>
      <c r="C38" s="281"/>
      <c r="D38" s="258"/>
      <c r="E38" s="281"/>
      <c r="F38" s="258"/>
      <c r="G38" s="258"/>
    </row>
    <row r="39" spans="1:9" x14ac:dyDescent="0.25">
      <c r="A39" s="258"/>
      <c r="B39" s="258" t="s">
        <v>73</v>
      </c>
      <c r="C39" s="281"/>
      <c r="D39" s="281"/>
      <c r="E39" s="258"/>
      <c r="F39" s="258"/>
      <c r="G39" s="258"/>
    </row>
    <row r="40" spans="1:9" x14ac:dyDescent="0.25">
      <c r="C40" s="207"/>
    </row>
  </sheetData>
  <mergeCells count="2">
    <mergeCell ref="A2:I2"/>
    <mergeCell ref="A3:I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</sheetPr>
  <dimension ref="A2:R96"/>
  <sheetViews>
    <sheetView zoomScale="90" zoomScaleNormal="90" workbookViewId="0">
      <selection activeCell="A2" sqref="A2:I2"/>
    </sheetView>
  </sheetViews>
  <sheetFormatPr baseColWidth="10" defaultRowHeight="15" outlineLevelRow="1" x14ac:dyDescent="0.25"/>
  <cols>
    <col min="1" max="1" width="11.42578125" style="206"/>
    <col min="2" max="2" width="47.85546875" style="205" customWidth="1"/>
    <col min="3" max="3" width="15.140625" style="205" customWidth="1"/>
    <col min="4" max="4" width="14.7109375" style="205" customWidth="1"/>
    <col min="5" max="5" width="16.42578125" style="205" customWidth="1"/>
    <col min="6" max="6" width="14.5703125" style="205" customWidth="1"/>
    <col min="7" max="7" width="15.7109375" style="205" customWidth="1"/>
    <col min="8" max="8" width="13" style="205" customWidth="1"/>
    <col min="9" max="9" width="11.28515625" style="205" customWidth="1"/>
    <col min="10" max="11" width="11.42578125" style="205" customWidth="1"/>
    <col min="12" max="12" width="10.28515625" style="205" customWidth="1"/>
    <col min="13" max="13" width="11.28515625" style="205" customWidth="1"/>
    <col min="14" max="18" width="11.42578125" style="205" customWidth="1"/>
    <col min="19" max="16384" width="11.42578125" style="205"/>
  </cols>
  <sheetData>
    <row r="2" spans="1:18" x14ac:dyDescent="0.25">
      <c r="A2" s="292" t="s">
        <v>386</v>
      </c>
      <c r="B2" s="292"/>
      <c r="C2" s="292"/>
      <c r="D2" s="292"/>
      <c r="E2" s="292"/>
      <c r="F2" s="292"/>
      <c r="G2" s="292"/>
      <c r="H2" s="292"/>
      <c r="I2" s="292"/>
    </row>
    <row r="3" spans="1:18" x14ac:dyDescent="0.25">
      <c r="A3" s="293" t="s">
        <v>388</v>
      </c>
      <c r="B3" s="293"/>
      <c r="C3" s="293"/>
      <c r="D3" s="293"/>
      <c r="E3" s="293"/>
      <c r="F3" s="293"/>
      <c r="G3" s="293"/>
      <c r="H3" s="293"/>
      <c r="I3" s="293"/>
    </row>
    <row r="4" spans="1:18" x14ac:dyDescent="0.25">
      <c r="A4" s="171" t="s">
        <v>270</v>
      </c>
      <c r="B4"/>
      <c r="C4" s="23"/>
      <c r="D4" s="23"/>
      <c r="E4"/>
      <c r="F4" s="23"/>
      <c r="G4"/>
      <c r="H4"/>
      <c r="I4"/>
    </row>
    <row r="5" spans="1:18" ht="25.5" x14ac:dyDescent="0.25">
      <c r="A5" s="1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3" t="s">
        <v>6</v>
      </c>
      <c r="H5" s="4" t="s">
        <v>7</v>
      </c>
      <c r="I5" s="4" t="s">
        <v>8</v>
      </c>
    </row>
    <row r="6" spans="1:18" x14ac:dyDescent="0.25">
      <c r="A6" s="172" t="s">
        <v>290</v>
      </c>
      <c r="B6" s="173" t="s">
        <v>291</v>
      </c>
      <c r="C6" s="174">
        <f>+C7</f>
        <v>13903</v>
      </c>
      <c r="D6" s="174">
        <f>+D7</f>
        <v>0</v>
      </c>
      <c r="E6" s="7">
        <f>+C6-D6</f>
        <v>13903</v>
      </c>
      <c r="F6" s="174">
        <f>+F7</f>
        <v>0</v>
      </c>
      <c r="G6" s="174">
        <f>+D6-F6</f>
        <v>0</v>
      </c>
      <c r="H6" s="8">
        <f>+D6/C6</f>
        <v>0</v>
      </c>
      <c r="I6" s="8">
        <f>+F6/C6</f>
        <v>0</v>
      </c>
    </row>
    <row r="7" spans="1:18" x14ac:dyDescent="0.25">
      <c r="A7" s="30" t="s">
        <v>296</v>
      </c>
      <c r="B7" s="179" t="s">
        <v>297</v>
      </c>
      <c r="C7" s="9">
        <v>13903</v>
      </c>
      <c r="D7" s="9">
        <v>0</v>
      </c>
      <c r="E7" s="65">
        <f>+C7-D7</f>
        <v>13903</v>
      </c>
      <c r="F7" s="9">
        <v>0</v>
      </c>
      <c r="G7" s="9">
        <f>+D7-F7</f>
        <v>0</v>
      </c>
      <c r="H7" s="10">
        <f>+D7/C7</f>
        <v>0</v>
      </c>
      <c r="I7" s="10">
        <f>+F7/C7</f>
        <v>0</v>
      </c>
    </row>
    <row r="8" spans="1:18" x14ac:dyDescent="0.25">
      <c r="A8" s="172" t="s">
        <v>271</v>
      </c>
      <c r="B8" s="173" t="s">
        <v>272</v>
      </c>
      <c r="C8" s="174">
        <f>+C9</f>
        <v>8425334</v>
      </c>
      <c r="D8" s="174">
        <f>+D9</f>
        <v>7686175</v>
      </c>
      <c r="E8" s="7">
        <f t="shared" ref="E8:E11" si="0">+C8-D8</f>
        <v>739159</v>
      </c>
      <c r="F8" s="174">
        <f>+F9</f>
        <v>7686175</v>
      </c>
      <c r="G8" s="174">
        <f t="shared" ref="G8:G11" si="1">+D8-F8</f>
        <v>0</v>
      </c>
      <c r="H8" s="8">
        <f t="shared" ref="H8:H11" si="2">+D8/C8</f>
        <v>0.9122694720470429</v>
      </c>
      <c r="I8" s="8">
        <f t="shared" ref="I8:I11" si="3">+F8/C8</f>
        <v>0.9122694720470429</v>
      </c>
    </row>
    <row r="9" spans="1:18" x14ac:dyDescent="0.25">
      <c r="A9" s="175" t="s">
        <v>273</v>
      </c>
      <c r="B9" s="176" t="s">
        <v>274</v>
      </c>
      <c r="C9" s="177">
        <f>+C10+C11</f>
        <v>8425334</v>
      </c>
      <c r="D9" s="177">
        <f>+D10+D11</f>
        <v>7686175</v>
      </c>
      <c r="E9" s="66">
        <f t="shared" si="0"/>
        <v>739159</v>
      </c>
      <c r="F9" s="177">
        <f>+F10+F11</f>
        <v>7686175</v>
      </c>
      <c r="G9" s="177">
        <f t="shared" si="1"/>
        <v>0</v>
      </c>
      <c r="H9" s="27">
        <f t="shared" si="2"/>
        <v>0.9122694720470429</v>
      </c>
      <c r="I9" s="27">
        <f t="shared" si="3"/>
        <v>0.9122694720470429</v>
      </c>
    </row>
    <row r="10" spans="1:18" x14ac:dyDescent="0.25">
      <c r="A10" s="30" t="s">
        <v>275</v>
      </c>
      <c r="B10" s="179" t="s">
        <v>276</v>
      </c>
      <c r="C10" s="9">
        <v>4361922</v>
      </c>
      <c r="D10" s="9">
        <v>4146191</v>
      </c>
      <c r="E10" s="65">
        <f t="shared" si="0"/>
        <v>215731</v>
      </c>
      <c r="F10" s="9">
        <v>4146191</v>
      </c>
      <c r="G10" s="9">
        <f t="shared" si="1"/>
        <v>0</v>
      </c>
      <c r="H10" s="10">
        <f t="shared" si="2"/>
        <v>0.95054221510609316</v>
      </c>
      <c r="I10" s="10">
        <f t="shared" si="3"/>
        <v>0.95054221510609316</v>
      </c>
    </row>
    <row r="11" spans="1:18" x14ac:dyDescent="0.25">
      <c r="A11" s="30" t="s">
        <v>277</v>
      </c>
      <c r="B11" s="179" t="s">
        <v>278</v>
      </c>
      <c r="C11" s="9">
        <v>4063412</v>
      </c>
      <c r="D11" s="9">
        <v>3539984</v>
      </c>
      <c r="E11" s="65">
        <f t="shared" si="0"/>
        <v>523428</v>
      </c>
      <c r="F11" s="9">
        <v>3539984</v>
      </c>
      <c r="G11" s="9">
        <f t="shared" si="1"/>
        <v>0</v>
      </c>
      <c r="H11" s="10">
        <f t="shared" si="2"/>
        <v>0.87118510256897408</v>
      </c>
      <c r="I11" s="10">
        <f t="shared" si="3"/>
        <v>0.87118510256897408</v>
      </c>
    </row>
    <row r="12" spans="1:18" x14ac:dyDescent="0.25">
      <c r="A12" s="91"/>
      <c r="B12" s="182" t="s">
        <v>22</v>
      </c>
      <c r="C12" s="183">
        <f>+C6+C8</f>
        <v>8439237</v>
      </c>
      <c r="D12" s="183">
        <f t="shared" ref="D12:F12" si="4">+D6+D8</f>
        <v>7686175</v>
      </c>
      <c r="E12" s="183">
        <f t="shared" si="4"/>
        <v>753062</v>
      </c>
      <c r="F12" s="183">
        <f t="shared" si="4"/>
        <v>7686175</v>
      </c>
      <c r="G12" s="183">
        <f t="shared" ref="G12" si="5">+G8</f>
        <v>0</v>
      </c>
      <c r="H12" s="21">
        <f>+D12/C12</f>
        <v>0.91076657759463331</v>
      </c>
      <c r="I12" s="21">
        <f>+F12/C12</f>
        <v>0.91076657759463331</v>
      </c>
    </row>
    <row r="14" spans="1:18" x14ac:dyDescent="0.25">
      <c r="A14" s="208" t="s">
        <v>320</v>
      </c>
    </row>
    <row r="15" spans="1:18" ht="25.5" x14ac:dyDescent="0.25">
      <c r="A15" s="209" t="s">
        <v>0</v>
      </c>
      <c r="B15" s="210" t="s">
        <v>1</v>
      </c>
      <c r="C15" s="210" t="s">
        <v>2</v>
      </c>
      <c r="D15" s="210" t="s">
        <v>3</v>
      </c>
      <c r="E15" s="210" t="s">
        <v>4</v>
      </c>
      <c r="F15" s="210" t="s">
        <v>5</v>
      </c>
      <c r="G15" s="211" t="s">
        <v>6</v>
      </c>
      <c r="H15" s="212" t="s">
        <v>7</v>
      </c>
      <c r="I15" s="212" t="s">
        <v>8</v>
      </c>
    </row>
    <row r="16" spans="1:18" x14ac:dyDescent="0.25">
      <c r="A16" s="213">
        <v>21</v>
      </c>
      <c r="B16" s="214" t="s">
        <v>9</v>
      </c>
      <c r="C16" s="215">
        <f>SUM(C17:C22)</f>
        <v>4315185</v>
      </c>
      <c r="D16" s="215">
        <f>SUM(D17:D22)</f>
        <v>4225117</v>
      </c>
      <c r="E16" s="215">
        <f>C16-D16</f>
        <v>90068</v>
      </c>
      <c r="F16" s="215">
        <f>SUM(F17:F22)</f>
        <v>4225117</v>
      </c>
      <c r="G16" s="215">
        <f>D16-F16</f>
        <v>0</v>
      </c>
      <c r="H16" s="216">
        <f>+D16/C16</f>
        <v>0.97912766196582535</v>
      </c>
      <c r="I16" s="216">
        <f>F16/C16</f>
        <v>0.97912766196582535</v>
      </c>
      <c r="J16" s="207"/>
      <c r="K16" s="207"/>
      <c r="L16" s="207"/>
      <c r="M16" s="207"/>
      <c r="N16" s="207"/>
      <c r="O16" s="207"/>
      <c r="P16" s="207"/>
      <c r="Q16" s="207"/>
      <c r="R16" s="207"/>
    </row>
    <row r="17" spans="1:18" outlineLevel="1" x14ac:dyDescent="0.25">
      <c r="A17" s="213"/>
      <c r="B17" s="189" t="s">
        <v>308</v>
      </c>
      <c r="C17" s="217">
        <f>4315185-SUM(C18:C22)</f>
        <v>4132734</v>
      </c>
      <c r="D17" s="217">
        <f>4225117-SUM(D18:D22)</f>
        <v>4079278</v>
      </c>
      <c r="E17" s="217">
        <f t="shared" ref="E17:E38" si="6">C17-D17</f>
        <v>53456</v>
      </c>
      <c r="F17" s="217">
        <f>4225117-SUM(F18:F22)</f>
        <v>4079278</v>
      </c>
      <c r="G17" s="217">
        <f t="shared" ref="G17:G38" si="7">D17-F17</f>
        <v>0</v>
      </c>
      <c r="H17" s="218">
        <f t="shared" ref="H17:H36" si="8">+D17/C17</f>
        <v>0.98706522123127205</v>
      </c>
      <c r="I17" s="218">
        <f t="shared" ref="I17:I40" si="9">F17/C17</f>
        <v>0.98706522123127205</v>
      </c>
      <c r="J17" s="207"/>
      <c r="K17" s="207"/>
      <c r="L17" s="207"/>
      <c r="M17" s="207"/>
      <c r="N17" s="207"/>
      <c r="O17" s="207"/>
      <c r="P17" s="207"/>
      <c r="Q17" s="207"/>
      <c r="R17" s="207"/>
    </row>
    <row r="18" spans="1:18" outlineLevel="1" x14ac:dyDescent="0.25">
      <c r="A18" s="213"/>
      <c r="B18" s="189" t="s">
        <v>309</v>
      </c>
      <c r="C18" s="217">
        <v>38303</v>
      </c>
      <c r="D18" s="217">
        <v>35111</v>
      </c>
      <c r="E18" s="217">
        <f t="shared" si="6"/>
        <v>3192</v>
      </c>
      <c r="F18" s="217">
        <v>35111</v>
      </c>
      <c r="G18" s="217">
        <f t="shared" si="7"/>
        <v>0</v>
      </c>
      <c r="H18" s="218">
        <f t="shared" si="8"/>
        <v>0.91666449103203407</v>
      </c>
      <c r="I18" s="218">
        <f t="shared" si="9"/>
        <v>0.91666449103203407</v>
      </c>
      <c r="J18" s="207"/>
      <c r="K18" s="207"/>
      <c r="L18" s="207"/>
      <c r="M18" s="207"/>
      <c r="N18" s="207"/>
      <c r="O18" s="207"/>
      <c r="P18" s="207"/>
      <c r="Q18" s="207"/>
      <c r="R18" s="207"/>
    </row>
    <row r="19" spans="1:18" outlineLevel="1" x14ac:dyDescent="0.25">
      <c r="A19" s="213"/>
      <c r="B19" s="189" t="s">
        <v>310</v>
      </c>
      <c r="C19" s="219">
        <v>38190</v>
      </c>
      <c r="D19" s="219">
        <v>31932</v>
      </c>
      <c r="E19" s="217">
        <f t="shared" si="6"/>
        <v>6258</v>
      </c>
      <c r="F19" s="217">
        <v>31932</v>
      </c>
      <c r="G19" s="217">
        <f t="shared" si="7"/>
        <v>0</v>
      </c>
      <c r="H19" s="218">
        <f t="shared" si="8"/>
        <v>0.8361351139041634</v>
      </c>
      <c r="I19" s="218">
        <f t="shared" si="9"/>
        <v>0.8361351139041634</v>
      </c>
      <c r="J19" s="207"/>
      <c r="K19" s="207"/>
      <c r="L19" s="207"/>
      <c r="M19" s="207"/>
      <c r="N19" s="207"/>
      <c r="O19" s="207"/>
      <c r="P19" s="207"/>
      <c r="Q19" s="207"/>
      <c r="R19" s="207"/>
    </row>
    <row r="20" spans="1:18" outlineLevel="1" x14ac:dyDescent="0.25">
      <c r="A20" s="213"/>
      <c r="B20" s="189" t="s">
        <v>311</v>
      </c>
      <c r="C20" s="219">
        <v>4000</v>
      </c>
      <c r="D20" s="219">
        <v>3236</v>
      </c>
      <c r="E20" s="217">
        <f t="shared" si="6"/>
        <v>764</v>
      </c>
      <c r="F20" s="217">
        <v>3236</v>
      </c>
      <c r="G20" s="217">
        <f t="shared" si="7"/>
        <v>0</v>
      </c>
      <c r="H20" s="218">
        <f t="shared" si="8"/>
        <v>0.80900000000000005</v>
      </c>
      <c r="I20" s="218">
        <f t="shared" si="9"/>
        <v>0.80900000000000005</v>
      </c>
      <c r="J20" s="207"/>
      <c r="K20" s="207"/>
      <c r="L20" s="207"/>
      <c r="M20" s="207"/>
      <c r="N20" s="207"/>
      <c r="O20" s="207"/>
      <c r="P20" s="207"/>
      <c r="Q20" s="207"/>
      <c r="R20" s="207"/>
    </row>
    <row r="21" spans="1:18" hidden="1" outlineLevel="1" x14ac:dyDescent="0.25">
      <c r="A21" s="213"/>
      <c r="B21" s="189" t="s">
        <v>312</v>
      </c>
      <c r="C21" s="219"/>
      <c r="D21" s="219"/>
      <c r="E21" s="217">
        <f t="shared" si="6"/>
        <v>0</v>
      </c>
      <c r="F21" s="217"/>
      <c r="G21" s="217">
        <f t="shared" si="7"/>
        <v>0</v>
      </c>
      <c r="H21" s="218" t="e">
        <f t="shared" si="8"/>
        <v>#DIV/0!</v>
      </c>
      <c r="I21" s="218" t="e">
        <f t="shared" si="9"/>
        <v>#DIV/0!</v>
      </c>
      <c r="J21" s="207"/>
      <c r="K21" s="207"/>
      <c r="L21" s="207"/>
      <c r="M21" s="207"/>
      <c r="N21" s="207"/>
      <c r="O21" s="207"/>
      <c r="P21" s="207"/>
      <c r="Q21" s="207"/>
      <c r="R21" s="207"/>
    </row>
    <row r="22" spans="1:18" outlineLevel="1" x14ac:dyDescent="0.25">
      <c r="A22" s="213"/>
      <c r="B22" s="189" t="s">
        <v>313</v>
      </c>
      <c r="C22" s="219">
        <v>101958</v>
      </c>
      <c r="D22" s="219">
        <v>75560</v>
      </c>
      <c r="E22" s="217">
        <f t="shared" si="6"/>
        <v>26398</v>
      </c>
      <c r="F22" s="217">
        <v>75560</v>
      </c>
      <c r="G22" s="217">
        <f t="shared" si="7"/>
        <v>0</v>
      </c>
      <c r="H22" s="218">
        <f t="shared" si="8"/>
        <v>0.74108946821240118</v>
      </c>
      <c r="I22" s="218">
        <f t="shared" si="9"/>
        <v>0.74108946821240118</v>
      </c>
      <c r="J22" s="207"/>
      <c r="K22" s="207"/>
      <c r="L22" s="207"/>
      <c r="M22" s="207"/>
      <c r="N22" s="207"/>
      <c r="O22" s="207"/>
      <c r="P22" s="207"/>
      <c r="Q22" s="207"/>
      <c r="R22" s="207"/>
    </row>
    <row r="23" spans="1:18" x14ac:dyDescent="0.25">
      <c r="A23" s="213">
        <v>22</v>
      </c>
      <c r="B23" s="220" t="s">
        <v>10</v>
      </c>
      <c r="C23" s="221">
        <v>1570983</v>
      </c>
      <c r="D23" s="221">
        <v>1436663</v>
      </c>
      <c r="E23" s="215">
        <f t="shared" si="6"/>
        <v>134320</v>
      </c>
      <c r="F23" s="215">
        <v>1436663</v>
      </c>
      <c r="G23" s="215">
        <f t="shared" si="7"/>
        <v>0</v>
      </c>
      <c r="H23" s="216">
        <f t="shared" si="8"/>
        <v>0.91449939305517625</v>
      </c>
      <c r="I23" s="216">
        <f t="shared" si="9"/>
        <v>0.91449939305517625</v>
      </c>
      <c r="J23" s="207"/>
      <c r="K23" s="207"/>
      <c r="L23" s="207"/>
      <c r="M23" s="207"/>
      <c r="N23" s="207"/>
      <c r="O23" s="207"/>
      <c r="P23" s="207"/>
      <c r="Q23" s="207"/>
      <c r="R23" s="207"/>
    </row>
    <row r="24" spans="1:18" x14ac:dyDescent="0.25">
      <c r="A24" s="213" t="s">
        <v>387</v>
      </c>
      <c r="B24" s="220" t="s">
        <v>24</v>
      </c>
      <c r="C24" s="221">
        <v>0</v>
      </c>
      <c r="D24" s="221">
        <v>0</v>
      </c>
      <c r="E24" s="215">
        <f t="shared" si="6"/>
        <v>0</v>
      </c>
      <c r="F24" s="215">
        <v>0</v>
      </c>
      <c r="G24" s="215">
        <f t="shared" si="7"/>
        <v>0</v>
      </c>
      <c r="H24" s="216">
        <v>0</v>
      </c>
      <c r="I24" s="216">
        <v>0</v>
      </c>
      <c r="J24" s="207"/>
      <c r="K24" s="207"/>
      <c r="L24" s="207"/>
      <c r="M24" s="207"/>
      <c r="N24" s="207"/>
      <c r="O24" s="207"/>
      <c r="P24" s="207"/>
      <c r="Q24" s="207"/>
      <c r="R24" s="207"/>
    </row>
    <row r="25" spans="1:18" x14ac:dyDescent="0.25">
      <c r="A25" s="213">
        <v>24</v>
      </c>
      <c r="B25" s="220" t="s">
        <v>25</v>
      </c>
      <c r="C25" s="221">
        <f>+C26+C28</f>
        <v>635884</v>
      </c>
      <c r="D25" s="221">
        <f>+D26+D28</f>
        <v>619825</v>
      </c>
      <c r="E25" s="215">
        <f t="shared" si="6"/>
        <v>16059</v>
      </c>
      <c r="F25" s="221">
        <f>+F26+F28</f>
        <v>619825</v>
      </c>
      <c r="G25" s="215">
        <f t="shared" si="7"/>
        <v>0</v>
      </c>
      <c r="H25" s="216">
        <f t="shared" si="8"/>
        <v>0.97474539381396608</v>
      </c>
      <c r="I25" s="216">
        <f t="shared" si="9"/>
        <v>0.97474539381396608</v>
      </c>
      <c r="J25" s="207"/>
      <c r="K25" s="207"/>
      <c r="L25" s="207"/>
      <c r="M25" s="207"/>
      <c r="N25" s="207"/>
      <c r="O25" s="207"/>
      <c r="P25" s="207"/>
      <c r="Q25" s="207"/>
      <c r="R25" s="207"/>
    </row>
    <row r="26" spans="1:18" s="235" customFormat="1" x14ac:dyDescent="0.25">
      <c r="A26" s="222" t="s">
        <v>48</v>
      </c>
      <c r="B26" s="223" t="s">
        <v>49</v>
      </c>
      <c r="C26" s="232">
        <f>+C27</f>
        <v>633110</v>
      </c>
      <c r="D26" s="232">
        <f>+D27</f>
        <v>617808</v>
      </c>
      <c r="E26" s="233">
        <f t="shared" si="6"/>
        <v>15302</v>
      </c>
      <c r="F26" s="232">
        <f>+F27</f>
        <v>617808</v>
      </c>
      <c r="G26" s="233">
        <f t="shared" si="7"/>
        <v>0</v>
      </c>
      <c r="H26" s="216">
        <f t="shared" si="8"/>
        <v>0.97583042441281931</v>
      </c>
      <c r="I26" s="216">
        <f t="shared" si="9"/>
        <v>0.97583042441281931</v>
      </c>
      <c r="J26" s="207"/>
      <c r="K26" s="234"/>
      <c r="L26" s="234"/>
      <c r="M26" s="234"/>
      <c r="N26" s="234"/>
      <c r="O26" s="234"/>
      <c r="P26" s="234"/>
      <c r="Q26" s="234"/>
      <c r="R26" s="234"/>
    </row>
    <row r="27" spans="1:18" x14ac:dyDescent="0.25">
      <c r="A27" s="228" t="s">
        <v>348</v>
      </c>
      <c r="B27" s="229" t="s">
        <v>349</v>
      </c>
      <c r="C27" s="230">
        <v>633110</v>
      </c>
      <c r="D27" s="230">
        <v>617808</v>
      </c>
      <c r="E27" s="231">
        <f t="shared" si="6"/>
        <v>15302</v>
      </c>
      <c r="F27" s="231">
        <v>617808</v>
      </c>
      <c r="G27" s="231">
        <f t="shared" si="7"/>
        <v>0</v>
      </c>
      <c r="H27" s="218">
        <f t="shared" si="8"/>
        <v>0.97583042441281931</v>
      </c>
      <c r="I27" s="218">
        <f t="shared" si="9"/>
        <v>0.97583042441281931</v>
      </c>
      <c r="J27" s="207"/>
      <c r="K27" s="207"/>
      <c r="L27" s="207"/>
      <c r="M27" s="207"/>
      <c r="N27" s="207"/>
      <c r="O27" s="207"/>
      <c r="P27" s="207"/>
      <c r="Q27" s="207"/>
      <c r="R27" s="207"/>
    </row>
    <row r="28" spans="1:18" s="238" customFormat="1" x14ac:dyDescent="0.25">
      <c r="A28" s="222" t="s">
        <v>111</v>
      </c>
      <c r="B28" s="223" t="s">
        <v>112</v>
      </c>
      <c r="C28" s="225">
        <f>+C29</f>
        <v>2774</v>
      </c>
      <c r="D28" s="225">
        <f>+D29</f>
        <v>2017</v>
      </c>
      <c r="E28" s="225">
        <f t="shared" si="6"/>
        <v>757</v>
      </c>
      <c r="F28" s="225">
        <f>+F29</f>
        <v>2017</v>
      </c>
      <c r="G28" s="225">
        <f t="shared" si="7"/>
        <v>0</v>
      </c>
      <c r="H28" s="226">
        <f t="shared" si="8"/>
        <v>0.72710886806056241</v>
      </c>
      <c r="I28" s="226">
        <f t="shared" si="9"/>
        <v>0.72710886806056241</v>
      </c>
      <c r="J28" s="207"/>
      <c r="K28" s="237"/>
      <c r="L28" s="237"/>
      <c r="M28" s="237"/>
      <c r="N28" s="237"/>
      <c r="O28" s="237"/>
      <c r="P28" s="237"/>
      <c r="Q28" s="237"/>
      <c r="R28" s="237"/>
    </row>
    <row r="29" spans="1:18" s="238" customFormat="1" x14ac:dyDescent="0.25">
      <c r="A29" s="282" t="s">
        <v>114</v>
      </c>
      <c r="B29" s="283" t="s">
        <v>115</v>
      </c>
      <c r="C29" s="231">
        <v>2774</v>
      </c>
      <c r="D29" s="231">
        <v>2017</v>
      </c>
      <c r="E29" s="231">
        <f t="shared" si="6"/>
        <v>757</v>
      </c>
      <c r="F29" s="231">
        <v>2017</v>
      </c>
      <c r="G29" s="231">
        <f t="shared" si="7"/>
        <v>0</v>
      </c>
      <c r="H29" s="218">
        <f t="shared" si="8"/>
        <v>0.72710886806056241</v>
      </c>
      <c r="I29" s="218">
        <f t="shared" si="9"/>
        <v>0.72710886806056241</v>
      </c>
      <c r="J29" s="207"/>
      <c r="K29" s="237"/>
      <c r="L29" s="237"/>
      <c r="M29" s="237"/>
      <c r="N29" s="237"/>
      <c r="O29" s="237"/>
      <c r="P29" s="237"/>
      <c r="Q29" s="237"/>
      <c r="R29" s="237"/>
    </row>
    <row r="30" spans="1:18" s="235" customFormat="1" x14ac:dyDescent="0.25">
      <c r="A30" s="239" t="s">
        <v>170</v>
      </c>
      <c r="B30" s="240" t="s">
        <v>63</v>
      </c>
      <c r="C30" s="233">
        <v>1450</v>
      </c>
      <c r="D30" s="233">
        <v>0</v>
      </c>
      <c r="E30" s="233">
        <f t="shared" si="6"/>
        <v>1450</v>
      </c>
      <c r="F30" s="233">
        <v>0</v>
      </c>
      <c r="G30" s="233">
        <f t="shared" si="7"/>
        <v>0</v>
      </c>
      <c r="H30" s="218">
        <f t="shared" si="8"/>
        <v>0</v>
      </c>
      <c r="I30" s="218">
        <f t="shared" si="9"/>
        <v>0</v>
      </c>
      <c r="J30" s="234"/>
      <c r="K30" s="234"/>
      <c r="L30" s="234"/>
      <c r="M30" s="234"/>
      <c r="N30" s="234"/>
      <c r="O30" s="234"/>
      <c r="P30" s="234"/>
      <c r="Q30" s="234"/>
      <c r="R30" s="234"/>
    </row>
    <row r="31" spans="1:18" s="227" customFormat="1" x14ac:dyDescent="0.25">
      <c r="A31" s="239">
        <v>29</v>
      </c>
      <c r="B31" s="240" t="s">
        <v>11</v>
      </c>
      <c r="C31" s="233">
        <f>SUM(C32:C35)</f>
        <v>127510</v>
      </c>
      <c r="D31" s="233">
        <f>SUM(D32:D35)</f>
        <v>118602</v>
      </c>
      <c r="E31" s="233">
        <f t="shared" si="6"/>
        <v>8908</v>
      </c>
      <c r="F31" s="233">
        <f>SUM(F32:F35)</f>
        <v>118602</v>
      </c>
      <c r="G31" s="233">
        <f t="shared" si="7"/>
        <v>0</v>
      </c>
      <c r="H31" s="216">
        <f>+D31/C31</f>
        <v>0.93013881264214571</v>
      </c>
      <c r="I31" s="216">
        <f t="shared" si="9"/>
        <v>0.93013881264214571</v>
      </c>
      <c r="J31" s="207"/>
      <c r="K31" s="207"/>
      <c r="L31" s="207"/>
      <c r="M31" s="207"/>
      <c r="N31" s="207"/>
      <c r="O31" s="207"/>
      <c r="P31" s="207"/>
      <c r="Q31" s="207"/>
      <c r="R31" s="207"/>
    </row>
    <row r="32" spans="1:18" ht="14.25" customHeight="1" x14ac:dyDescent="0.25">
      <c r="A32" s="241" t="s">
        <v>14</v>
      </c>
      <c r="B32" s="242" t="s">
        <v>15</v>
      </c>
      <c r="C32" s="231">
        <v>75614</v>
      </c>
      <c r="D32" s="231">
        <v>75013</v>
      </c>
      <c r="E32" s="231">
        <f t="shared" si="6"/>
        <v>601</v>
      </c>
      <c r="F32" s="231">
        <v>75013</v>
      </c>
      <c r="G32" s="231">
        <f t="shared" si="7"/>
        <v>0</v>
      </c>
      <c r="H32" s="218">
        <f t="shared" si="8"/>
        <v>0.99205173645092182</v>
      </c>
      <c r="I32" s="218">
        <f t="shared" si="9"/>
        <v>0.99205173645092182</v>
      </c>
      <c r="J32" s="207"/>
      <c r="K32" s="207"/>
      <c r="L32" s="207"/>
      <c r="M32" s="207"/>
      <c r="N32" s="207"/>
      <c r="O32" s="207"/>
      <c r="P32" s="207"/>
      <c r="Q32" s="207"/>
      <c r="R32" s="207"/>
    </row>
    <row r="33" spans="1:18" x14ac:dyDescent="0.25">
      <c r="A33" s="228" t="s">
        <v>16</v>
      </c>
      <c r="B33" s="229" t="s">
        <v>17</v>
      </c>
      <c r="C33" s="231">
        <v>15519</v>
      </c>
      <c r="D33" s="231">
        <v>14659</v>
      </c>
      <c r="E33" s="231">
        <f t="shared" si="6"/>
        <v>860</v>
      </c>
      <c r="F33" s="231">
        <v>14659</v>
      </c>
      <c r="G33" s="231">
        <f t="shared" si="7"/>
        <v>0</v>
      </c>
      <c r="H33" s="218">
        <f t="shared" si="8"/>
        <v>0.94458405825117597</v>
      </c>
      <c r="I33" s="218">
        <f t="shared" si="9"/>
        <v>0.94458405825117597</v>
      </c>
      <c r="J33" s="207"/>
      <c r="K33" s="207"/>
      <c r="L33" s="207"/>
      <c r="M33" s="207"/>
      <c r="N33" s="207"/>
      <c r="O33" s="207"/>
      <c r="P33" s="207"/>
      <c r="Q33" s="207"/>
      <c r="R33" s="207"/>
    </row>
    <row r="34" spans="1:18" x14ac:dyDescent="0.25">
      <c r="A34" s="228" t="s">
        <v>18</v>
      </c>
      <c r="B34" s="229" t="s">
        <v>19</v>
      </c>
      <c r="C34" s="231">
        <v>15906</v>
      </c>
      <c r="D34" s="231">
        <v>10259</v>
      </c>
      <c r="E34" s="231">
        <f t="shared" si="6"/>
        <v>5647</v>
      </c>
      <c r="F34" s="231">
        <v>10259</v>
      </c>
      <c r="G34" s="231">
        <f t="shared" si="7"/>
        <v>0</v>
      </c>
      <c r="H34" s="218">
        <f t="shared" si="8"/>
        <v>0.64497673833773417</v>
      </c>
      <c r="I34" s="218">
        <f t="shared" si="9"/>
        <v>0.64497673833773417</v>
      </c>
      <c r="J34" s="207"/>
      <c r="K34" s="207"/>
      <c r="L34" s="207"/>
      <c r="M34" s="207"/>
      <c r="N34" s="207"/>
      <c r="O34" s="207"/>
      <c r="P34" s="207"/>
      <c r="Q34" s="207"/>
      <c r="R34" s="207"/>
    </row>
    <row r="35" spans="1:18" x14ac:dyDescent="0.25">
      <c r="A35" s="228" t="s">
        <v>20</v>
      </c>
      <c r="B35" s="229" t="s">
        <v>21</v>
      </c>
      <c r="C35" s="231">
        <v>20471</v>
      </c>
      <c r="D35" s="231">
        <v>18671</v>
      </c>
      <c r="E35" s="231">
        <f t="shared" si="6"/>
        <v>1800</v>
      </c>
      <c r="F35" s="231">
        <v>18671</v>
      </c>
      <c r="G35" s="231">
        <f t="shared" si="7"/>
        <v>0</v>
      </c>
      <c r="H35" s="218">
        <f t="shared" si="8"/>
        <v>0.91207073420936935</v>
      </c>
      <c r="I35" s="218">
        <f t="shared" si="9"/>
        <v>0.91207073420936935</v>
      </c>
      <c r="J35" s="207"/>
      <c r="K35" s="207"/>
      <c r="L35" s="207"/>
      <c r="M35" s="207"/>
      <c r="N35" s="207"/>
      <c r="O35" s="207"/>
      <c r="P35" s="207"/>
      <c r="Q35" s="207"/>
      <c r="R35" s="207"/>
    </row>
    <row r="36" spans="1:18" s="235" customFormat="1" x14ac:dyDescent="0.25">
      <c r="A36" s="213">
        <v>31</v>
      </c>
      <c r="B36" s="220" t="s">
        <v>367</v>
      </c>
      <c r="C36" s="233">
        <f>+C37</f>
        <v>1402021</v>
      </c>
      <c r="D36" s="233">
        <f>+D37</f>
        <v>1400643</v>
      </c>
      <c r="E36" s="233">
        <f t="shared" si="6"/>
        <v>1378</v>
      </c>
      <c r="F36" s="233">
        <f>+F37</f>
        <v>1400643</v>
      </c>
      <c r="G36" s="233">
        <f t="shared" si="7"/>
        <v>0</v>
      </c>
      <c r="H36" s="216">
        <f t="shared" si="8"/>
        <v>0.99901713312425422</v>
      </c>
      <c r="I36" s="216">
        <f t="shared" si="9"/>
        <v>0.99901713312425422</v>
      </c>
      <c r="J36" s="207"/>
      <c r="K36" s="234"/>
      <c r="L36" s="234"/>
      <c r="M36" s="234"/>
      <c r="N36" s="234"/>
      <c r="O36" s="234"/>
      <c r="P36" s="234"/>
      <c r="Q36" s="234"/>
      <c r="R36" s="234"/>
    </row>
    <row r="37" spans="1:18" x14ac:dyDescent="0.25">
      <c r="A37" s="228" t="s">
        <v>64</v>
      </c>
      <c r="B37" s="229" t="s">
        <v>65</v>
      </c>
      <c r="C37" s="231">
        <v>1402021</v>
      </c>
      <c r="D37" s="231">
        <v>1400643</v>
      </c>
      <c r="E37" s="231">
        <f t="shared" si="6"/>
        <v>1378</v>
      </c>
      <c r="F37" s="231">
        <v>1400643</v>
      </c>
      <c r="G37" s="231">
        <f t="shared" si="7"/>
        <v>0</v>
      </c>
      <c r="H37" s="218">
        <f>+D37/C37</f>
        <v>0.99901713312425422</v>
      </c>
      <c r="I37" s="218">
        <f t="shared" si="9"/>
        <v>0.99901713312425422</v>
      </c>
      <c r="J37" s="207"/>
      <c r="K37" s="207"/>
      <c r="L37" s="207"/>
      <c r="M37" s="207"/>
      <c r="N37" s="207"/>
      <c r="O37" s="207"/>
      <c r="P37" s="207"/>
      <c r="Q37" s="207"/>
      <c r="R37" s="207"/>
    </row>
    <row r="38" spans="1:18" x14ac:dyDescent="0.25">
      <c r="A38" s="213">
        <v>34</v>
      </c>
      <c r="B38" s="220" t="s">
        <v>70</v>
      </c>
      <c r="C38" s="233">
        <f>+C39</f>
        <v>386204</v>
      </c>
      <c r="D38" s="233">
        <f>+D39</f>
        <v>386203</v>
      </c>
      <c r="E38" s="233">
        <f t="shared" si="6"/>
        <v>1</v>
      </c>
      <c r="F38" s="233">
        <f>+F39</f>
        <v>386203</v>
      </c>
      <c r="G38" s="233">
        <f t="shared" si="7"/>
        <v>0</v>
      </c>
      <c r="H38" s="216">
        <f t="shared" ref="H38" si="10">+D38/C38</f>
        <v>0.99999741069486592</v>
      </c>
      <c r="I38" s="216">
        <f t="shared" si="9"/>
        <v>0.99999741069486592</v>
      </c>
      <c r="J38" s="207"/>
      <c r="K38" s="207"/>
      <c r="L38" s="207"/>
      <c r="M38" s="207"/>
      <c r="N38" s="207"/>
      <c r="O38" s="207"/>
      <c r="P38" s="207"/>
      <c r="Q38" s="207"/>
      <c r="R38" s="207"/>
    </row>
    <row r="39" spans="1:18" x14ac:dyDescent="0.25">
      <c r="A39" s="228" t="s">
        <v>71</v>
      </c>
      <c r="B39" s="229" t="s">
        <v>72</v>
      </c>
      <c r="C39" s="231">
        <v>386204</v>
      </c>
      <c r="D39" s="231">
        <v>386203</v>
      </c>
      <c r="E39" s="231">
        <f>+C39-D39</f>
        <v>1</v>
      </c>
      <c r="F39" s="231">
        <v>386203</v>
      </c>
      <c r="G39" s="231">
        <f>+D39-F39</f>
        <v>0</v>
      </c>
      <c r="H39" s="218">
        <f>+D39/C39</f>
        <v>0.99999741069486592</v>
      </c>
      <c r="I39" s="218">
        <f t="shared" si="9"/>
        <v>0.99999741069486592</v>
      </c>
      <c r="J39" s="207"/>
      <c r="K39" s="207"/>
      <c r="L39" s="207"/>
      <c r="M39" s="207"/>
      <c r="N39" s="207"/>
      <c r="O39" s="207"/>
      <c r="P39" s="207"/>
      <c r="Q39" s="207"/>
      <c r="R39" s="207"/>
    </row>
    <row r="40" spans="1:18" x14ac:dyDescent="0.25">
      <c r="A40" s="253"/>
      <c r="B40" s="254" t="s">
        <v>22</v>
      </c>
      <c r="C40" s="255">
        <f>+C16+C23+C24+C25+C31+C36+C38+C30</f>
        <v>8439237</v>
      </c>
      <c r="D40" s="255">
        <f t="shared" ref="D40:G40" si="11">+D16+D23+D24+D25+D31+D36+D38+D30</f>
        <v>8187053</v>
      </c>
      <c r="E40" s="255">
        <f t="shared" si="11"/>
        <v>252184</v>
      </c>
      <c r="F40" s="255">
        <f t="shared" si="11"/>
        <v>8187053</v>
      </c>
      <c r="G40" s="255">
        <f t="shared" si="11"/>
        <v>0</v>
      </c>
      <c r="H40" s="256">
        <f>+D40/C40</f>
        <v>0.97011767770001012</v>
      </c>
      <c r="I40" s="256">
        <f t="shared" si="9"/>
        <v>0.97011767770001012</v>
      </c>
      <c r="K40" s="207"/>
      <c r="L40" s="207"/>
      <c r="M40" s="207"/>
      <c r="N40" s="207"/>
      <c r="O40" s="207"/>
      <c r="P40" s="207"/>
      <c r="Q40" s="207"/>
      <c r="R40" s="207"/>
    </row>
    <row r="41" spans="1:18" x14ac:dyDescent="0.25">
      <c r="C41" s="23"/>
      <c r="D41" s="260"/>
      <c r="F41" s="260"/>
    </row>
    <row r="42" spans="1:18" x14ac:dyDescent="0.25">
      <c r="C42"/>
      <c r="E42" s="207"/>
    </row>
    <row r="43" spans="1:18" x14ac:dyDescent="0.25">
      <c r="C43" s="207"/>
    </row>
    <row r="45" spans="1:18" hidden="1" x14ac:dyDescent="0.25"/>
    <row r="46" spans="1:18" hidden="1" x14ac:dyDescent="0.25">
      <c r="A46" s="209" t="s">
        <v>0</v>
      </c>
      <c r="B46" s="210" t="s">
        <v>1</v>
      </c>
      <c r="C46" s="210"/>
      <c r="D46" s="210"/>
      <c r="E46" s="210"/>
      <c r="F46" s="210"/>
      <c r="G46" s="211"/>
      <c r="H46" s="212"/>
      <c r="I46" s="212"/>
    </row>
    <row r="47" spans="1:18" hidden="1" x14ac:dyDescent="0.25">
      <c r="A47" s="213">
        <v>21</v>
      </c>
      <c r="B47" s="214" t="s">
        <v>9</v>
      </c>
      <c r="C47" s="215"/>
      <c r="D47" s="215"/>
      <c r="E47" s="215"/>
      <c r="F47" s="215"/>
      <c r="G47" s="215"/>
      <c r="H47" s="216"/>
      <c r="I47" s="216"/>
      <c r="K47" s="207">
        <f t="shared" ref="K47:K54" si="12">C16-C47</f>
        <v>4315185</v>
      </c>
    </row>
    <row r="48" spans="1:18" hidden="1" x14ac:dyDescent="0.25">
      <c r="A48" s="213"/>
      <c r="B48" s="189" t="s">
        <v>308</v>
      </c>
      <c r="C48" s="217"/>
      <c r="D48" s="217"/>
      <c r="E48" s="217"/>
      <c r="F48" s="217"/>
      <c r="G48" s="217"/>
      <c r="H48" s="218"/>
      <c r="I48" s="218"/>
      <c r="K48" s="207">
        <f t="shared" si="12"/>
        <v>4132734</v>
      </c>
    </row>
    <row r="49" spans="1:11" hidden="1" x14ac:dyDescent="0.25">
      <c r="A49" s="213"/>
      <c r="B49" s="189" t="s">
        <v>309</v>
      </c>
      <c r="C49" s="217"/>
      <c r="D49" s="217"/>
      <c r="E49" s="217"/>
      <c r="F49" s="217"/>
      <c r="G49" s="217"/>
      <c r="H49" s="218"/>
      <c r="I49" s="218"/>
      <c r="K49" s="207">
        <f t="shared" si="12"/>
        <v>38303</v>
      </c>
    </row>
    <row r="50" spans="1:11" hidden="1" x14ac:dyDescent="0.25">
      <c r="A50" s="213"/>
      <c r="B50" s="189" t="s">
        <v>310</v>
      </c>
      <c r="C50" s="217"/>
      <c r="D50" s="217"/>
      <c r="E50" s="217"/>
      <c r="F50" s="217"/>
      <c r="G50" s="217"/>
      <c r="H50" s="218"/>
      <c r="I50" s="218"/>
      <c r="K50" s="207">
        <f t="shared" si="12"/>
        <v>38190</v>
      </c>
    </row>
    <row r="51" spans="1:11" hidden="1" x14ac:dyDescent="0.25">
      <c r="A51" s="213"/>
      <c r="B51" s="189" t="s">
        <v>311</v>
      </c>
      <c r="C51" s="261"/>
      <c r="D51" s="217"/>
      <c r="E51" s="217"/>
      <c r="F51" s="217"/>
      <c r="G51" s="217"/>
      <c r="H51" s="218"/>
      <c r="I51" s="218"/>
      <c r="K51" s="207">
        <f t="shared" si="12"/>
        <v>4000</v>
      </c>
    </row>
    <row r="52" spans="1:11" hidden="1" x14ac:dyDescent="0.25">
      <c r="A52" s="213"/>
      <c r="B52" s="189" t="s">
        <v>312</v>
      </c>
      <c r="C52" s="217"/>
      <c r="D52" s="217"/>
      <c r="E52" s="217"/>
      <c r="F52" s="217"/>
      <c r="G52" s="217"/>
      <c r="H52" s="218"/>
      <c r="I52" s="218"/>
      <c r="K52" s="207">
        <f t="shared" si="12"/>
        <v>0</v>
      </c>
    </row>
    <row r="53" spans="1:11" hidden="1" x14ac:dyDescent="0.25">
      <c r="A53" s="213"/>
      <c r="B53" s="189" t="s">
        <v>313</v>
      </c>
      <c r="C53" s="217"/>
      <c r="D53" s="217"/>
      <c r="E53" s="217"/>
      <c r="F53" s="217"/>
      <c r="G53" s="217"/>
      <c r="H53" s="218"/>
      <c r="I53" s="218"/>
      <c r="K53" s="207">
        <f t="shared" si="12"/>
        <v>101958</v>
      </c>
    </row>
    <row r="54" spans="1:11" hidden="1" x14ac:dyDescent="0.25">
      <c r="A54" s="213">
        <v>22</v>
      </c>
      <c r="B54" s="220" t="s">
        <v>10</v>
      </c>
      <c r="C54" s="215"/>
      <c r="D54" s="215"/>
      <c r="E54" s="215"/>
      <c r="F54" s="215"/>
      <c r="G54" s="215"/>
      <c r="H54" s="216"/>
      <c r="I54" s="216"/>
      <c r="K54" s="207">
        <f t="shared" si="12"/>
        <v>1570983</v>
      </c>
    </row>
    <row r="55" spans="1:11" hidden="1" x14ac:dyDescent="0.25">
      <c r="A55" s="213">
        <v>23</v>
      </c>
      <c r="B55" s="220" t="s">
        <v>24</v>
      </c>
      <c r="C55" s="215"/>
      <c r="D55" s="215"/>
      <c r="E55" s="215"/>
      <c r="F55" s="215"/>
      <c r="G55" s="215"/>
      <c r="H55" s="216"/>
      <c r="I55" s="216"/>
      <c r="K55" s="207" t="e">
        <f>#REF!-C55</f>
        <v>#REF!</v>
      </c>
    </row>
    <row r="56" spans="1:11" hidden="1" x14ac:dyDescent="0.25">
      <c r="A56" s="213">
        <v>24</v>
      </c>
      <c r="B56" s="220" t="s">
        <v>25</v>
      </c>
      <c r="C56" s="215"/>
      <c r="D56" s="215"/>
      <c r="E56" s="215"/>
      <c r="F56" s="215"/>
      <c r="G56" s="215"/>
      <c r="H56" s="216"/>
      <c r="I56" s="216"/>
      <c r="K56" s="207">
        <f>C25-C56</f>
        <v>635884</v>
      </c>
    </row>
    <row r="57" spans="1:11" hidden="1" x14ac:dyDescent="0.25">
      <c r="A57" s="222" t="s">
        <v>26</v>
      </c>
      <c r="B57" s="223" t="s">
        <v>27</v>
      </c>
      <c r="C57" s="225"/>
      <c r="D57" s="225"/>
      <c r="E57" s="225"/>
      <c r="F57" s="225"/>
      <c r="G57" s="225"/>
      <c r="H57" s="226"/>
      <c r="I57" s="226"/>
      <c r="K57" s="207" t="e">
        <f>#REF!-C57</f>
        <v>#REF!</v>
      </c>
    </row>
    <row r="58" spans="1:11" hidden="1" x14ac:dyDescent="0.25">
      <c r="A58" s="228">
        <v>2401210</v>
      </c>
      <c r="B58" s="229" t="s">
        <v>337</v>
      </c>
      <c r="C58" s="231"/>
      <c r="D58" s="231"/>
      <c r="E58" s="231"/>
      <c r="F58" s="231"/>
      <c r="G58" s="231"/>
      <c r="H58" s="218"/>
      <c r="I58" s="218"/>
      <c r="K58" s="207" t="e">
        <f>#REF!-C58</f>
        <v>#REF!</v>
      </c>
    </row>
    <row r="59" spans="1:11" hidden="1" x14ac:dyDescent="0.25">
      <c r="A59" s="228">
        <v>2401212</v>
      </c>
      <c r="B59" s="229" t="s">
        <v>339</v>
      </c>
      <c r="C59" s="231"/>
      <c r="D59" s="231"/>
      <c r="E59" s="231"/>
      <c r="F59" s="231"/>
      <c r="G59" s="231"/>
      <c r="H59" s="218"/>
      <c r="I59" s="218"/>
      <c r="K59" s="207" t="e">
        <f>#REF!-C59</f>
        <v>#REF!</v>
      </c>
    </row>
    <row r="60" spans="1:11" hidden="1" x14ac:dyDescent="0.25">
      <c r="A60" s="228">
        <v>2401222</v>
      </c>
      <c r="B60" s="229" t="s">
        <v>341</v>
      </c>
      <c r="C60" s="231"/>
      <c r="D60" s="231"/>
      <c r="E60" s="231"/>
      <c r="F60" s="231"/>
      <c r="G60" s="231"/>
      <c r="H60" s="218"/>
      <c r="I60" s="218"/>
      <c r="K60" s="207" t="e">
        <f>#REF!-C60</f>
        <v>#REF!</v>
      </c>
    </row>
    <row r="61" spans="1:11" hidden="1" x14ac:dyDescent="0.25">
      <c r="A61" s="228">
        <v>2401223</v>
      </c>
      <c r="B61" s="229" t="s">
        <v>343</v>
      </c>
      <c r="C61" s="231"/>
      <c r="D61" s="231"/>
      <c r="E61" s="231"/>
      <c r="F61" s="231"/>
      <c r="G61" s="231"/>
      <c r="H61" s="218"/>
      <c r="I61" s="218"/>
      <c r="K61" s="207" t="e">
        <f>#REF!-C61</f>
        <v>#REF!</v>
      </c>
    </row>
    <row r="62" spans="1:11" hidden="1" x14ac:dyDescent="0.25">
      <c r="A62" s="222" t="s">
        <v>48</v>
      </c>
      <c r="B62" s="223" t="s">
        <v>49</v>
      </c>
      <c r="C62" s="233"/>
      <c r="D62" s="233"/>
      <c r="E62" s="233"/>
      <c r="F62" s="233"/>
      <c r="G62" s="233"/>
      <c r="H62" s="216"/>
      <c r="I62" s="216"/>
      <c r="K62" s="207">
        <f>C26-C62</f>
        <v>633110</v>
      </c>
    </row>
    <row r="63" spans="1:11" hidden="1" x14ac:dyDescent="0.25">
      <c r="A63" s="228">
        <v>2403192</v>
      </c>
      <c r="B63" s="229" t="s">
        <v>349</v>
      </c>
      <c r="C63" s="231"/>
      <c r="D63" s="231"/>
      <c r="E63" s="231"/>
      <c r="F63" s="231"/>
      <c r="G63" s="231"/>
      <c r="H63" s="218"/>
      <c r="I63" s="218"/>
      <c r="K63" s="207">
        <f>C27-C63</f>
        <v>633110</v>
      </c>
    </row>
    <row r="64" spans="1:11" hidden="1" x14ac:dyDescent="0.25">
      <c r="A64" s="228">
        <v>2403193</v>
      </c>
      <c r="B64" s="229" t="s">
        <v>351</v>
      </c>
      <c r="C64" s="231"/>
      <c r="D64" s="231"/>
      <c r="E64" s="231"/>
      <c r="F64" s="231"/>
      <c r="G64" s="231"/>
      <c r="H64" s="218"/>
      <c r="I64" s="218"/>
      <c r="K64" s="207" t="e">
        <f>#REF!-C64</f>
        <v>#REF!</v>
      </c>
    </row>
    <row r="65" spans="1:11" hidden="1" x14ac:dyDescent="0.25">
      <c r="A65" s="228">
        <v>2403194</v>
      </c>
      <c r="B65" s="229" t="s">
        <v>353</v>
      </c>
      <c r="C65" s="231"/>
      <c r="D65" s="231"/>
      <c r="E65" s="231"/>
      <c r="F65" s="231"/>
      <c r="G65" s="231"/>
      <c r="H65" s="218"/>
      <c r="I65" s="218"/>
      <c r="K65" s="207" t="e">
        <f>#REF!-C65</f>
        <v>#REF!</v>
      </c>
    </row>
    <row r="66" spans="1:11" hidden="1" x14ac:dyDescent="0.25">
      <c r="A66" s="228">
        <v>2403195</v>
      </c>
      <c r="B66" s="236" t="s">
        <v>376</v>
      </c>
      <c r="C66" s="231"/>
      <c r="D66" s="231"/>
      <c r="E66" s="231"/>
      <c r="F66" s="231"/>
      <c r="G66" s="231"/>
      <c r="H66" s="218"/>
      <c r="I66" s="218"/>
      <c r="K66" s="207" t="e">
        <f>#REF!-C66</f>
        <v>#REF!</v>
      </c>
    </row>
    <row r="67" spans="1:11" hidden="1" x14ac:dyDescent="0.25">
      <c r="A67" s="228">
        <v>2403196</v>
      </c>
      <c r="B67" s="229" t="s">
        <v>377</v>
      </c>
      <c r="C67" s="231"/>
      <c r="D67" s="231"/>
      <c r="E67" s="231"/>
      <c r="F67" s="231"/>
      <c r="G67" s="231"/>
      <c r="H67" s="216"/>
      <c r="I67" s="216"/>
      <c r="K67" s="207" t="e">
        <f>#REF!-C67</f>
        <v>#REF!</v>
      </c>
    </row>
    <row r="68" spans="1:11" hidden="1" x14ac:dyDescent="0.25">
      <c r="A68" s="228" t="s">
        <v>378</v>
      </c>
      <c r="B68" s="229" t="s">
        <v>359</v>
      </c>
      <c r="C68" s="231"/>
      <c r="D68" s="231"/>
      <c r="E68" s="231"/>
      <c r="F68" s="231"/>
      <c r="G68" s="231"/>
      <c r="H68" s="216"/>
      <c r="I68" s="216"/>
      <c r="K68" s="207" t="e">
        <f>#REF!-C68</f>
        <v>#REF!</v>
      </c>
    </row>
    <row r="69" spans="1:11" hidden="1" x14ac:dyDescent="0.25">
      <c r="A69" s="213">
        <v>25</v>
      </c>
      <c r="B69" s="220" t="s">
        <v>63</v>
      </c>
      <c r="C69" s="233"/>
      <c r="D69" s="233"/>
      <c r="E69" s="233"/>
      <c r="F69" s="233"/>
      <c r="G69" s="233"/>
      <c r="H69" s="216"/>
      <c r="I69" s="216"/>
      <c r="K69" s="207" t="e">
        <f>#REF!-C69</f>
        <v>#REF!</v>
      </c>
    </row>
    <row r="70" spans="1:11" hidden="1" x14ac:dyDescent="0.25">
      <c r="A70" s="239">
        <v>29</v>
      </c>
      <c r="B70" s="240" t="s">
        <v>11</v>
      </c>
      <c r="C70" s="225"/>
      <c r="D70" s="225"/>
      <c r="E70" s="225"/>
      <c r="F70" s="225"/>
      <c r="G70" s="225"/>
      <c r="H70" s="216"/>
      <c r="I70" s="216"/>
      <c r="K70" s="207">
        <f>C31-C70</f>
        <v>127510</v>
      </c>
    </row>
    <row r="71" spans="1:11" hidden="1" x14ac:dyDescent="0.25">
      <c r="A71" s="241" t="s">
        <v>12</v>
      </c>
      <c r="B71" s="242" t="s">
        <v>13</v>
      </c>
      <c r="C71" s="231"/>
      <c r="D71" s="231"/>
      <c r="E71" s="231"/>
      <c r="F71" s="231"/>
      <c r="G71" s="231"/>
      <c r="H71" s="218"/>
      <c r="I71" s="218"/>
      <c r="K71" s="207" t="e">
        <f>#REF!-C71</f>
        <v>#REF!</v>
      </c>
    </row>
    <row r="72" spans="1:11" hidden="1" x14ac:dyDescent="0.25">
      <c r="A72" s="241" t="s">
        <v>14</v>
      </c>
      <c r="B72" s="242" t="s">
        <v>15</v>
      </c>
      <c r="C72" s="231"/>
      <c r="D72" s="231"/>
      <c r="E72" s="231"/>
      <c r="F72" s="231"/>
      <c r="G72" s="231"/>
      <c r="H72" s="218"/>
      <c r="I72" s="218"/>
      <c r="K72" s="207">
        <f>C32-C72</f>
        <v>75614</v>
      </c>
    </row>
    <row r="73" spans="1:11" hidden="1" x14ac:dyDescent="0.25">
      <c r="A73" s="228" t="s">
        <v>16</v>
      </c>
      <c r="B73" s="229" t="s">
        <v>17</v>
      </c>
      <c r="C73" s="231"/>
      <c r="D73" s="231"/>
      <c r="E73" s="231"/>
      <c r="F73" s="231"/>
      <c r="G73" s="231"/>
      <c r="H73" s="218"/>
      <c r="I73" s="218"/>
      <c r="K73" s="207">
        <f>C33-C73</f>
        <v>15519</v>
      </c>
    </row>
    <row r="74" spans="1:11" hidden="1" x14ac:dyDescent="0.25">
      <c r="A74" s="228" t="s">
        <v>18</v>
      </c>
      <c r="B74" s="229" t="s">
        <v>19</v>
      </c>
      <c r="C74" s="231"/>
      <c r="D74" s="231"/>
      <c r="E74" s="231"/>
      <c r="F74" s="231"/>
      <c r="G74" s="231"/>
      <c r="H74" s="218"/>
      <c r="I74" s="218"/>
      <c r="K74" s="207" t="e">
        <f>#REF!-C74</f>
        <v>#REF!</v>
      </c>
    </row>
    <row r="75" spans="1:11" hidden="1" x14ac:dyDescent="0.25">
      <c r="A75" s="228" t="s">
        <v>20</v>
      </c>
      <c r="B75" s="229" t="s">
        <v>21</v>
      </c>
      <c r="C75" s="231"/>
      <c r="D75" s="231"/>
      <c r="E75" s="231"/>
      <c r="F75" s="231"/>
      <c r="G75" s="231"/>
      <c r="H75" s="218"/>
      <c r="I75" s="218"/>
      <c r="K75" s="207">
        <f>C35-C75</f>
        <v>20471</v>
      </c>
    </row>
    <row r="76" spans="1:11" hidden="1" x14ac:dyDescent="0.25">
      <c r="A76" s="213">
        <v>31</v>
      </c>
      <c r="B76" s="220" t="s">
        <v>367</v>
      </c>
      <c r="C76" s="233"/>
      <c r="D76" s="233"/>
      <c r="E76" s="233"/>
      <c r="F76" s="233"/>
      <c r="G76" s="233"/>
      <c r="H76" s="216"/>
      <c r="I76" s="216"/>
      <c r="K76" s="207">
        <f>C36-C76</f>
        <v>1402021</v>
      </c>
    </row>
    <row r="77" spans="1:11" hidden="1" x14ac:dyDescent="0.25">
      <c r="A77" s="228" t="s">
        <v>64</v>
      </c>
      <c r="B77" s="229" t="s">
        <v>65</v>
      </c>
      <c r="C77" s="231"/>
      <c r="D77" s="231"/>
      <c r="E77" s="231"/>
      <c r="F77" s="231"/>
      <c r="G77" s="231"/>
      <c r="H77" s="218"/>
      <c r="I77" s="218"/>
      <c r="K77" s="207">
        <f>C37-C77</f>
        <v>1402021</v>
      </c>
    </row>
    <row r="78" spans="1:11" hidden="1" x14ac:dyDescent="0.25">
      <c r="A78" s="244">
        <v>33</v>
      </c>
      <c r="B78" s="245" t="s">
        <v>66</v>
      </c>
      <c r="C78" s="246"/>
      <c r="D78" s="246"/>
      <c r="E78" s="246"/>
      <c r="F78" s="246"/>
      <c r="G78" s="246"/>
      <c r="H78" s="247"/>
      <c r="I78" s="247"/>
      <c r="K78" s="207" t="e">
        <f>#REF!-C78</f>
        <v>#REF!</v>
      </c>
    </row>
    <row r="79" spans="1:11" hidden="1" x14ac:dyDescent="0.25">
      <c r="A79" s="248" t="s">
        <v>368</v>
      </c>
      <c r="B79" s="223" t="s">
        <v>27</v>
      </c>
      <c r="C79" s="225"/>
      <c r="D79" s="225"/>
      <c r="E79" s="225"/>
      <c r="F79" s="225"/>
      <c r="G79" s="225"/>
      <c r="H79" s="226"/>
      <c r="I79" s="226"/>
      <c r="K79" s="207" t="e">
        <f>#REF!-C79</f>
        <v>#REF!</v>
      </c>
    </row>
    <row r="80" spans="1:11" hidden="1" x14ac:dyDescent="0.25">
      <c r="A80" s="251">
        <v>3301001</v>
      </c>
      <c r="B80" s="229" t="s">
        <v>370</v>
      </c>
      <c r="C80" s="231"/>
      <c r="D80" s="231"/>
      <c r="E80" s="231"/>
      <c r="F80" s="231"/>
      <c r="G80" s="231"/>
      <c r="H80" s="218"/>
      <c r="I80" s="218"/>
      <c r="K80" s="207" t="e">
        <f>#REF!-C80</f>
        <v>#REF!</v>
      </c>
    </row>
    <row r="81" spans="1:11" hidden="1" x14ac:dyDescent="0.25">
      <c r="A81" s="239" t="s">
        <v>67</v>
      </c>
      <c r="B81" s="240" t="s">
        <v>49</v>
      </c>
      <c r="C81" s="233"/>
      <c r="D81" s="233"/>
      <c r="E81" s="233"/>
      <c r="F81" s="233"/>
      <c r="G81" s="233"/>
      <c r="H81" s="216"/>
      <c r="I81" s="216"/>
      <c r="K81" s="207" t="e">
        <f>#REF!-C81</f>
        <v>#REF!</v>
      </c>
    </row>
    <row r="82" spans="1:11" hidden="1" x14ac:dyDescent="0.25">
      <c r="A82" s="251">
        <v>3303005</v>
      </c>
      <c r="B82" s="229" t="s">
        <v>374</v>
      </c>
      <c r="C82" s="231"/>
      <c r="D82" s="231"/>
      <c r="E82" s="231"/>
      <c r="F82" s="231"/>
      <c r="G82" s="231"/>
      <c r="H82" s="218"/>
      <c r="I82" s="218"/>
      <c r="K82" s="207" t="e">
        <f>#REF!-C82</f>
        <v>#REF!</v>
      </c>
    </row>
    <row r="83" spans="1:11" hidden="1" x14ac:dyDescent="0.25">
      <c r="A83" s="251">
        <v>3303006</v>
      </c>
      <c r="B83" s="229" t="s">
        <v>370</v>
      </c>
      <c r="C83" s="231"/>
      <c r="D83" s="231"/>
      <c r="E83" s="231"/>
      <c r="F83" s="231"/>
      <c r="G83" s="231"/>
      <c r="H83" s="218"/>
      <c r="I83" s="218"/>
      <c r="K83" s="207" t="e">
        <f>#REF!-C83</f>
        <v>#REF!</v>
      </c>
    </row>
    <row r="84" spans="1:11" hidden="1" x14ac:dyDescent="0.25">
      <c r="A84" s="251">
        <v>3303007</v>
      </c>
      <c r="B84" s="229" t="s">
        <v>379</v>
      </c>
      <c r="C84" s="231"/>
      <c r="D84" s="231"/>
      <c r="E84" s="231"/>
      <c r="F84" s="231"/>
      <c r="G84" s="231"/>
      <c r="H84" s="218"/>
      <c r="I84" s="218"/>
      <c r="K84" s="207" t="e">
        <f>#REF!-C84</f>
        <v>#REF!</v>
      </c>
    </row>
    <row r="85" spans="1:11" hidden="1" x14ac:dyDescent="0.25">
      <c r="A85" s="239">
        <v>34</v>
      </c>
      <c r="B85" s="240" t="s">
        <v>70</v>
      </c>
      <c r="C85" s="233"/>
      <c r="D85" s="233"/>
      <c r="E85" s="233"/>
      <c r="F85" s="233"/>
      <c r="G85" s="233"/>
      <c r="H85" s="218"/>
      <c r="I85" s="218"/>
      <c r="K85" s="207" t="e">
        <f>#REF!-C85</f>
        <v>#REF!</v>
      </c>
    </row>
    <row r="86" spans="1:11" hidden="1" x14ac:dyDescent="0.25">
      <c r="A86" s="251" t="s">
        <v>71</v>
      </c>
      <c r="B86" s="252" t="s">
        <v>72</v>
      </c>
      <c r="C86" s="231"/>
      <c r="D86" s="231"/>
      <c r="E86" s="231"/>
      <c r="F86" s="231"/>
      <c r="G86" s="231"/>
      <c r="H86" s="218"/>
      <c r="I86" s="218"/>
      <c r="K86" s="207" t="e">
        <f>#REF!-C86</f>
        <v>#REF!</v>
      </c>
    </row>
    <row r="87" spans="1:11" hidden="1" x14ac:dyDescent="0.25">
      <c r="A87" s="262">
        <v>35</v>
      </c>
      <c r="B87" s="263" t="s">
        <v>380</v>
      </c>
      <c r="C87" s="264"/>
      <c r="D87" s="264"/>
      <c r="E87" s="264"/>
      <c r="F87" s="264"/>
      <c r="G87" s="264"/>
      <c r="H87" s="218"/>
      <c r="I87" s="218"/>
      <c r="K87" s="207" t="e">
        <f>#REF!-C87</f>
        <v>#REF!</v>
      </c>
    </row>
    <row r="88" spans="1:11" hidden="1" x14ac:dyDescent="0.25">
      <c r="A88" s="253"/>
      <c r="B88" s="254" t="s">
        <v>22</v>
      </c>
      <c r="C88" s="255"/>
      <c r="D88" s="255"/>
      <c r="E88" s="255"/>
      <c r="F88" s="255"/>
      <c r="G88" s="255"/>
      <c r="H88" s="256"/>
      <c r="I88" s="256"/>
    </row>
    <row r="89" spans="1:11" hidden="1" x14ac:dyDescent="0.25"/>
    <row r="90" spans="1:11" hidden="1" x14ac:dyDescent="0.25"/>
    <row r="91" spans="1:11" x14ac:dyDescent="0.25">
      <c r="C91" s="23"/>
    </row>
    <row r="92" spans="1:11" x14ac:dyDescent="0.25">
      <c r="C92" s="23"/>
    </row>
    <row r="93" spans="1:11" x14ac:dyDescent="0.25">
      <c r="C93" s="207"/>
    </row>
    <row r="96" spans="1:11" x14ac:dyDescent="0.25">
      <c r="C96" s="265"/>
    </row>
  </sheetData>
  <mergeCells count="2">
    <mergeCell ref="A2:I2"/>
    <mergeCell ref="A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3</vt:i4>
      </vt:variant>
    </vt:vector>
  </HeadingPairs>
  <TitlesOfParts>
    <vt:vector size="17" baseType="lpstr">
      <vt:lpstr>SCA</vt:lpstr>
      <vt:lpstr>01-01</vt:lpstr>
      <vt:lpstr>01-02</vt:lpstr>
      <vt:lpstr>T 087</vt:lpstr>
      <vt:lpstr>02-01</vt:lpstr>
      <vt:lpstr>03-01</vt:lpstr>
      <vt:lpstr>03-02</vt:lpstr>
      <vt:lpstr>03-03</vt:lpstr>
      <vt:lpstr>03-04</vt:lpstr>
      <vt:lpstr>SALDOS TREN</vt:lpstr>
      <vt:lpstr>St22 P01</vt:lpstr>
      <vt:lpstr>Cuadros Diapo</vt:lpstr>
      <vt:lpstr>Hoja1</vt:lpstr>
      <vt:lpstr>Hoja2</vt:lpstr>
      <vt:lpstr>'01-01'!Área_de_impresión</vt:lpstr>
      <vt:lpstr>'01-02'!Área_de_impresión</vt:lpstr>
      <vt:lpstr>'T 087'!Área_de_impresión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Rosana Maureira Acevedo</dc:creator>
  <cp:lastModifiedBy>Raul Anabalon Maturana</cp:lastModifiedBy>
  <cp:lastPrinted>2022-03-14T15:42:16Z</cp:lastPrinted>
  <dcterms:created xsi:type="dcterms:W3CDTF">2019-01-04T16:19:15Z</dcterms:created>
  <dcterms:modified xsi:type="dcterms:W3CDTF">2024-01-22T20:17:32Z</dcterms:modified>
</cp:coreProperties>
</file>