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mincap-my.sharepoint.com/personal/raul_anabalon_cultura_gob_cl/Documents/Documentos/RAM/Año 2023/Informes/Ejecución Presupuestaria/02 Febrero/"/>
    </mc:Choice>
  </mc:AlternateContent>
  <xr:revisionPtr revIDLastSave="4" documentId="11_B449CE109DFDC483460200AF6D9032B3F3250C70" xr6:coauthVersionLast="47" xr6:coauthVersionMax="47" xr10:uidLastSave="{22BAC145-B792-40EE-98A2-4C54D53DBF79}"/>
  <bookViews>
    <workbookView xWindow="20370" yWindow="-120" windowWidth="24240" windowHeight="13140" tabRatio="770" xr2:uid="{00000000-000D-0000-FFFF-FFFF00000000}"/>
  </bookViews>
  <sheets>
    <sheet name="Ministerio" sheetId="1" r:id="rId1"/>
    <sheet name="01-01" sheetId="19" r:id="rId2"/>
    <sheet name="01-02" sheetId="20" r:id="rId3"/>
    <sheet name="02-01" sheetId="15" r:id="rId4"/>
    <sheet name="03-01" sheetId="21" r:id="rId5"/>
    <sheet name="03-02" sheetId="22" r:id="rId6"/>
    <sheet name="03-03" sheetId="23" r:id="rId7"/>
    <sheet name="03-04" sheetId="48" r:id="rId8"/>
    <sheet name="T 087" sheetId="36" r:id="rId9"/>
    <sheet name="St22 P01" sheetId="42" state="hidden" r:id="rId10"/>
    <sheet name="Cuadros Diapo" sheetId="25" state="hidden" r:id="rId11"/>
  </sheets>
  <externalReferences>
    <externalReference r:id="rId12"/>
    <externalReference r:id="rId13"/>
  </externalReferences>
  <definedNames>
    <definedName name="_xlnm.Print_Area" localSheetId="1">'01-01'!$A$2:$I$83</definedName>
    <definedName name="_xlnm.Print_Area" localSheetId="2">'01-02'!$A$2:$J$36</definedName>
    <definedName name="_xlnm.Print_Area" localSheetId="4">'03-01'!$A$2:$I$73</definedName>
    <definedName name="_xlnm.Print_Area" localSheetId="8">'T 087'!$A$2:$H$54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48" l="1"/>
  <c r="H7" i="48"/>
  <c r="I6" i="48"/>
  <c r="H6" i="48"/>
  <c r="N41" i="25"/>
  <c r="M41" i="25"/>
  <c r="G6" i="48"/>
  <c r="F6" i="48"/>
  <c r="D6" i="48"/>
  <c r="C6" i="48"/>
  <c r="E6" i="48" s="1"/>
  <c r="G7" i="48"/>
  <c r="E7" i="48"/>
  <c r="C11" i="48"/>
  <c r="I24" i="48"/>
  <c r="H24" i="48"/>
  <c r="G24" i="48"/>
  <c r="E24" i="48"/>
  <c r="C17" i="48"/>
  <c r="C24" i="21"/>
  <c r="F17" i="48"/>
  <c r="D17" i="48"/>
  <c r="C38" i="48"/>
  <c r="G39" i="48"/>
  <c r="E39" i="48"/>
  <c r="I39" i="48"/>
  <c r="H39" i="48"/>
  <c r="F38" i="48"/>
  <c r="N47" i="25" s="1"/>
  <c r="D38" i="48"/>
  <c r="E38" i="48"/>
  <c r="F16" i="23"/>
  <c r="D16" i="23"/>
  <c r="F22" i="22"/>
  <c r="D22" i="22"/>
  <c r="F24" i="21"/>
  <c r="D24" i="21"/>
  <c r="F25" i="15"/>
  <c r="D25" i="15"/>
  <c r="I38" i="48" l="1"/>
  <c r="M47" i="25"/>
  <c r="G38" i="48"/>
  <c r="H38" i="48"/>
  <c r="F13" i="36"/>
  <c r="F16" i="20" l="1"/>
  <c r="D16" i="20"/>
  <c r="F29" i="19"/>
  <c r="D29" i="19"/>
  <c r="K14" i="25" l="1"/>
  <c r="L14" i="25" s="1"/>
  <c r="J14" i="25"/>
  <c r="C16" i="23" l="1"/>
  <c r="C22" i="22"/>
  <c r="F41" i="21"/>
  <c r="D41" i="21"/>
  <c r="C41" i="21"/>
  <c r="G48" i="21"/>
  <c r="I48" i="21"/>
  <c r="E48" i="21"/>
  <c r="H48" i="21"/>
  <c r="I36" i="15"/>
  <c r="H36" i="15"/>
  <c r="G36" i="15"/>
  <c r="E36" i="15"/>
  <c r="F35" i="15"/>
  <c r="D35" i="15"/>
  <c r="C35" i="15"/>
  <c r="C25" i="15"/>
  <c r="I35" i="15" l="1"/>
  <c r="H35" i="15"/>
  <c r="G35" i="15"/>
  <c r="E35" i="15"/>
  <c r="B26" i="36"/>
  <c r="B40" i="36"/>
  <c r="F37" i="36"/>
  <c r="U37" i="36" s="1"/>
  <c r="H37" i="36"/>
  <c r="T37" i="36"/>
  <c r="D37" i="36"/>
  <c r="S37" i="36" s="1"/>
  <c r="G37" i="36"/>
  <c r="R37" i="36"/>
  <c r="H13" i="36"/>
  <c r="G13" i="36"/>
  <c r="D13" i="36"/>
  <c r="T36" i="36"/>
  <c r="R36" i="36"/>
  <c r="C16" i="20"/>
  <c r="I63" i="19"/>
  <c r="H63" i="19"/>
  <c r="G63" i="19"/>
  <c r="E63" i="19"/>
  <c r="F53" i="19"/>
  <c r="D53" i="19"/>
  <c r="C53" i="19"/>
  <c r="C29" i="19"/>
  <c r="E41" i="25" l="1"/>
  <c r="Q41" i="25" s="1"/>
  <c r="D41" i="25"/>
  <c r="E63" i="42"/>
  <c r="H62" i="42"/>
  <c r="G62" i="42"/>
  <c r="F62" i="42"/>
  <c r="D62" i="42"/>
  <c r="H61" i="42"/>
  <c r="G61" i="42"/>
  <c r="F61" i="42"/>
  <c r="D61" i="42"/>
  <c r="H60" i="42"/>
  <c r="G60" i="42"/>
  <c r="F60" i="42"/>
  <c r="D60" i="42"/>
  <c r="H59" i="42"/>
  <c r="G59" i="42"/>
  <c r="F59" i="42"/>
  <c r="D59" i="42"/>
  <c r="H58" i="42"/>
  <c r="G58" i="42"/>
  <c r="F58" i="42"/>
  <c r="D58" i="42"/>
  <c r="H57" i="42"/>
  <c r="G57" i="42"/>
  <c r="F57" i="42"/>
  <c r="D57" i="42"/>
  <c r="H56" i="42"/>
  <c r="G56" i="42"/>
  <c r="F56" i="42"/>
  <c r="D56" i="42"/>
  <c r="H55" i="42"/>
  <c r="G55" i="42"/>
  <c r="F55" i="42"/>
  <c r="D55" i="42"/>
  <c r="H54" i="42"/>
  <c r="G54" i="42"/>
  <c r="F54" i="42"/>
  <c r="D54" i="42"/>
  <c r="H53" i="42"/>
  <c r="G53" i="42"/>
  <c r="F53" i="42"/>
  <c r="D53" i="42"/>
  <c r="H52" i="42"/>
  <c r="G52" i="42"/>
  <c r="F52" i="42"/>
  <c r="D52" i="42"/>
  <c r="H51" i="42"/>
  <c r="G51" i="42"/>
  <c r="F51" i="42"/>
  <c r="D51" i="42"/>
  <c r="H50" i="42"/>
  <c r="G50" i="42"/>
  <c r="F50" i="42"/>
  <c r="D50" i="42"/>
  <c r="H49" i="42"/>
  <c r="G49" i="42"/>
  <c r="F49" i="42"/>
  <c r="D49" i="42"/>
  <c r="H48" i="42"/>
  <c r="G48" i="42"/>
  <c r="F48" i="42"/>
  <c r="D48" i="42"/>
  <c r="H47" i="42"/>
  <c r="G47" i="42"/>
  <c r="F47" i="42"/>
  <c r="D47" i="42"/>
  <c r="H46" i="42"/>
  <c r="G46" i="42"/>
  <c r="F46" i="42"/>
  <c r="F45" i="42" s="1"/>
  <c r="D46" i="42"/>
  <c r="D45" i="42" s="1"/>
  <c r="E45" i="42"/>
  <c r="C45" i="42"/>
  <c r="B45" i="42"/>
  <c r="H45" i="42" s="1"/>
  <c r="H44" i="42"/>
  <c r="G44" i="42"/>
  <c r="F44" i="42"/>
  <c r="D44" i="42"/>
  <c r="H43" i="42"/>
  <c r="G43" i="42"/>
  <c r="F43" i="42"/>
  <c r="D43" i="42"/>
  <c r="H42" i="42"/>
  <c r="G42" i="42"/>
  <c r="F42" i="42"/>
  <c r="D42" i="42"/>
  <c r="H41" i="42"/>
  <c r="G41" i="42"/>
  <c r="F41" i="42"/>
  <c r="D41" i="42"/>
  <c r="H40" i="42"/>
  <c r="G40" i="42"/>
  <c r="F40" i="42"/>
  <c r="D40" i="42"/>
  <c r="H39" i="42"/>
  <c r="G39" i="42"/>
  <c r="F39" i="42"/>
  <c r="D39" i="42"/>
  <c r="H38" i="42"/>
  <c r="G38" i="42"/>
  <c r="F38" i="42"/>
  <c r="D38" i="42"/>
  <c r="H37" i="42"/>
  <c r="G37" i="42"/>
  <c r="F37" i="42"/>
  <c r="D37" i="42"/>
  <c r="H36" i="42"/>
  <c r="G36" i="42"/>
  <c r="F36" i="42"/>
  <c r="D36" i="42"/>
  <c r="H35" i="42"/>
  <c r="G35" i="42"/>
  <c r="F35" i="42"/>
  <c r="D35" i="42"/>
  <c r="H34" i="42"/>
  <c r="G34" i="42"/>
  <c r="F34" i="42"/>
  <c r="D34" i="42"/>
  <c r="H33" i="42"/>
  <c r="G33" i="42"/>
  <c r="F33" i="42"/>
  <c r="D33" i="42"/>
  <c r="H32" i="42"/>
  <c r="G32" i="42"/>
  <c r="F32" i="42"/>
  <c r="D32" i="42"/>
  <c r="H31" i="42"/>
  <c r="G31" i="42"/>
  <c r="F31" i="42"/>
  <c r="D31" i="42"/>
  <c r="H30" i="42"/>
  <c r="G30" i="42"/>
  <c r="F30" i="42"/>
  <c r="D30" i="42"/>
  <c r="H29" i="42"/>
  <c r="G29" i="42"/>
  <c r="F29" i="42"/>
  <c r="D29" i="42"/>
  <c r="H28" i="42"/>
  <c r="G28" i="42"/>
  <c r="F28" i="42"/>
  <c r="D28" i="42"/>
  <c r="H27" i="42"/>
  <c r="G27" i="42"/>
  <c r="F27" i="42"/>
  <c r="D27" i="42"/>
  <c r="H26" i="42"/>
  <c r="G26" i="42"/>
  <c r="F26" i="42"/>
  <c r="D26" i="42"/>
  <c r="H25" i="42"/>
  <c r="G25" i="42"/>
  <c r="F25" i="42"/>
  <c r="D25" i="42"/>
  <c r="H24" i="42"/>
  <c r="G24" i="42"/>
  <c r="F24" i="42"/>
  <c r="D24" i="42"/>
  <c r="H23" i="42"/>
  <c r="G23" i="42"/>
  <c r="F23" i="42"/>
  <c r="D23" i="42"/>
  <c r="H22" i="42"/>
  <c r="G22" i="42"/>
  <c r="F22" i="42"/>
  <c r="D22" i="42"/>
  <c r="H21" i="42"/>
  <c r="G21" i="42"/>
  <c r="F21" i="42"/>
  <c r="D21" i="42"/>
  <c r="H20" i="42"/>
  <c r="G20" i="42"/>
  <c r="F20" i="42"/>
  <c r="D20" i="42"/>
  <c r="H19" i="42"/>
  <c r="G19" i="42"/>
  <c r="F19" i="42"/>
  <c r="D19" i="42"/>
  <c r="H18" i="42"/>
  <c r="G18" i="42"/>
  <c r="F18" i="42"/>
  <c r="D18" i="42"/>
  <c r="H17" i="42"/>
  <c r="G17" i="42"/>
  <c r="F17" i="42"/>
  <c r="D17" i="42"/>
  <c r="H16" i="42"/>
  <c r="G16" i="42"/>
  <c r="F16" i="42"/>
  <c r="D16" i="42"/>
  <c r="H15" i="42"/>
  <c r="G15" i="42"/>
  <c r="F15" i="42"/>
  <c r="D15" i="42"/>
  <c r="H14" i="42"/>
  <c r="G14" i="42"/>
  <c r="F14" i="42"/>
  <c r="D14" i="42"/>
  <c r="H13" i="42"/>
  <c r="G13" i="42"/>
  <c r="F13" i="42"/>
  <c r="D13" i="42"/>
  <c r="H12" i="42"/>
  <c r="G12" i="42"/>
  <c r="F12" i="42"/>
  <c r="D12" i="42"/>
  <c r="H11" i="42"/>
  <c r="G11" i="42"/>
  <c r="F11" i="42"/>
  <c r="D11" i="42"/>
  <c r="H10" i="42"/>
  <c r="G10" i="42"/>
  <c r="F10" i="42"/>
  <c r="D10" i="42"/>
  <c r="H9" i="42"/>
  <c r="G9" i="42"/>
  <c r="F9" i="42"/>
  <c r="D9" i="42"/>
  <c r="H8" i="42"/>
  <c r="G8" i="42"/>
  <c r="F8" i="42"/>
  <c r="D8" i="42"/>
  <c r="H7" i="42"/>
  <c r="G7" i="42"/>
  <c r="F7" i="42"/>
  <c r="D7" i="42"/>
  <c r="H6" i="42"/>
  <c r="G6" i="42"/>
  <c r="F6" i="42"/>
  <c r="F63" i="42" s="1"/>
  <c r="D6" i="42"/>
  <c r="B6" i="36"/>
  <c r="C6" i="36"/>
  <c r="E6" i="36"/>
  <c r="D7" i="36"/>
  <c r="F7" i="36"/>
  <c r="G7" i="36"/>
  <c r="H7" i="36"/>
  <c r="D8" i="36"/>
  <c r="F8" i="36"/>
  <c r="G8" i="36"/>
  <c r="H8" i="36"/>
  <c r="R8" i="36"/>
  <c r="T8" i="36"/>
  <c r="D9" i="36"/>
  <c r="F9" i="36"/>
  <c r="G9" i="36"/>
  <c r="H9" i="36"/>
  <c r="D10" i="36"/>
  <c r="F10" i="36"/>
  <c r="G10" i="36"/>
  <c r="H10" i="36"/>
  <c r="T10" i="36"/>
  <c r="D11" i="36"/>
  <c r="F11" i="36"/>
  <c r="G11" i="36"/>
  <c r="H11" i="36"/>
  <c r="D12" i="36"/>
  <c r="F12" i="36"/>
  <c r="G12" i="36"/>
  <c r="H12" i="36"/>
  <c r="D14" i="36"/>
  <c r="F14" i="36"/>
  <c r="G14" i="36"/>
  <c r="H14" i="36"/>
  <c r="B15" i="36"/>
  <c r="C15" i="36"/>
  <c r="E15" i="36"/>
  <c r="D16" i="36"/>
  <c r="F16" i="36"/>
  <c r="G16" i="36"/>
  <c r="H16" i="36"/>
  <c r="R16" i="36"/>
  <c r="T16" i="36"/>
  <c r="D17" i="36"/>
  <c r="F17" i="36"/>
  <c r="G17" i="36"/>
  <c r="H17" i="36"/>
  <c r="R17" i="36"/>
  <c r="T17" i="36"/>
  <c r="D18" i="36"/>
  <c r="F18" i="36"/>
  <c r="G18" i="36"/>
  <c r="H18" i="36"/>
  <c r="R18" i="36"/>
  <c r="T18" i="36"/>
  <c r="D19" i="36"/>
  <c r="F19" i="36"/>
  <c r="G19" i="36"/>
  <c r="H19" i="36"/>
  <c r="R19" i="36"/>
  <c r="T19" i="36"/>
  <c r="B20" i="36"/>
  <c r="C20" i="36"/>
  <c r="E20" i="36"/>
  <c r="D21" i="36"/>
  <c r="F21" i="36"/>
  <c r="G21" i="36"/>
  <c r="H21" i="36"/>
  <c r="R21" i="36"/>
  <c r="T21" i="36"/>
  <c r="D22" i="36"/>
  <c r="F22" i="36"/>
  <c r="G22" i="36"/>
  <c r="H22" i="36"/>
  <c r="R22" i="36"/>
  <c r="T22" i="36"/>
  <c r="D23" i="36"/>
  <c r="F23" i="36"/>
  <c r="G23" i="36"/>
  <c r="H23" i="36"/>
  <c r="R23" i="36"/>
  <c r="T23" i="36"/>
  <c r="D24" i="36"/>
  <c r="F24" i="36"/>
  <c r="G24" i="36"/>
  <c r="H24" i="36"/>
  <c r="R24" i="36"/>
  <c r="T24" i="36"/>
  <c r="D25" i="36"/>
  <c r="F25" i="36"/>
  <c r="G25" i="36"/>
  <c r="H25" i="36"/>
  <c r="R25" i="36"/>
  <c r="T25" i="36"/>
  <c r="D26" i="36"/>
  <c r="F26" i="36"/>
  <c r="G26" i="36"/>
  <c r="H26" i="36"/>
  <c r="R26" i="36"/>
  <c r="T26" i="36"/>
  <c r="B27" i="36"/>
  <c r="C27" i="36"/>
  <c r="E27" i="36"/>
  <c r="D28" i="36"/>
  <c r="F28" i="36"/>
  <c r="G28" i="36"/>
  <c r="H28" i="36"/>
  <c r="B29" i="36"/>
  <c r="C29" i="36"/>
  <c r="E29" i="36"/>
  <c r="D30" i="36"/>
  <c r="F30" i="36"/>
  <c r="G30" i="36"/>
  <c r="H30" i="36"/>
  <c r="R30" i="36"/>
  <c r="T30" i="36"/>
  <c r="B31" i="36"/>
  <c r="C31" i="36"/>
  <c r="E31" i="36"/>
  <c r="D32" i="36"/>
  <c r="F32" i="36"/>
  <c r="G32" i="36"/>
  <c r="H32" i="36"/>
  <c r="R32" i="36"/>
  <c r="T32" i="36"/>
  <c r="D33" i="36"/>
  <c r="F33" i="36"/>
  <c r="G33" i="36"/>
  <c r="H33" i="36"/>
  <c r="R33" i="36"/>
  <c r="T33" i="36"/>
  <c r="D34" i="36"/>
  <c r="F34" i="36"/>
  <c r="G34" i="36"/>
  <c r="H34" i="36"/>
  <c r="R34" i="36"/>
  <c r="T34" i="36"/>
  <c r="D35" i="36"/>
  <c r="F35" i="36"/>
  <c r="G35" i="36"/>
  <c r="H35" i="36"/>
  <c r="R35" i="36"/>
  <c r="T35" i="36"/>
  <c r="D36" i="36"/>
  <c r="S36" i="36" s="1"/>
  <c r="F36" i="36"/>
  <c r="U36" i="36" s="1"/>
  <c r="G36" i="36"/>
  <c r="H36" i="36"/>
  <c r="D38" i="36"/>
  <c r="F38" i="36"/>
  <c r="G38" i="36"/>
  <c r="H38" i="36"/>
  <c r="B39" i="36"/>
  <c r="C39" i="36"/>
  <c r="E39" i="36"/>
  <c r="D40" i="36"/>
  <c r="F40" i="36"/>
  <c r="G40" i="36"/>
  <c r="H40" i="36"/>
  <c r="R40" i="36"/>
  <c r="T40" i="36"/>
  <c r="D41" i="36"/>
  <c r="F41" i="36"/>
  <c r="G41" i="36"/>
  <c r="H41" i="36"/>
  <c r="R41" i="36"/>
  <c r="T41" i="36"/>
  <c r="D42" i="36"/>
  <c r="F42" i="36"/>
  <c r="G42" i="36"/>
  <c r="H42" i="36"/>
  <c r="D43" i="36"/>
  <c r="F43" i="36"/>
  <c r="G43" i="36"/>
  <c r="H43" i="36"/>
  <c r="R43" i="36"/>
  <c r="T43" i="36"/>
  <c r="D44" i="36"/>
  <c r="F44" i="36"/>
  <c r="G44" i="36"/>
  <c r="H44" i="36"/>
  <c r="R44" i="36"/>
  <c r="S44" i="36" s="1"/>
  <c r="T44" i="36"/>
  <c r="U44" i="36" s="1"/>
  <c r="B45" i="36"/>
  <c r="C45" i="36"/>
  <c r="E45" i="36"/>
  <c r="R45" i="36"/>
  <c r="S45" i="36" s="1"/>
  <c r="T45" i="36"/>
  <c r="U45" i="36" s="1"/>
  <c r="D46" i="36"/>
  <c r="F46" i="36"/>
  <c r="G46" i="36"/>
  <c r="H46" i="36"/>
  <c r="R46" i="36"/>
  <c r="T46" i="36"/>
  <c r="D47" i="36"/>
  <c r="F47" i="36"/>
  <c r="G47" i="36"/>
  <c r="H47" i="36"/>
  <c r="R47" i="36"/>
  <c r="T47" i="36"/>
  <c r="D48" i="36"/>
  <c r="F48" i="36"/>
  <c r="G48" i="36"/>
  <c r="H48" i="36"/>
  <c r="D49" i="36"/>
  <c r="F49" i="36"/>
  <c r="G49" i="36"/>
  <c r="H49" i="36"/>
  <c r="R49" i="36"/>
  <c r="T49" i="36"/>
  <c r="D50" i="36"/>
  <c r="F50" i="36"/>
  <c r="G50" i="36"/>
  <c r="H50" i="36"/>
  <c r="D51" i="36"/>
  <c r="F51" i="36"/>
  <c r="G51" i="36"/>
  <c r="H51" i="36"/>
  <c r="D52" i="36"/>
  <c r="F52" i="36"/>
  <c r="G52" i="36"/>
  <c r="H52" i="36"/>
  <c r="K87" i="48"/>
  <c r="K86" i="48"/>
  <c r="K85" i="48"/>
  <c r="K84" i="48"/>
  <c r="K83" i="48"/>
  <c r="K82" i="48"/>
  <c r="K81" i="48"/>
  <c r="K80" i="48"/>
  <c r="K79" i="48"/>
  <c r="K78" i="48"/>
  <c r="K77" i="48"/>
  <c r="K75" i="48"/>
  <c r="K74" i="48"/>
  <c r="K73" i="48"/>
  <c r="K72" i="48"/>
  <c r="K71" i="48"/>
  <c r="K69" i="48"/>
  <c r="K68" i="48"/>
  <c r="K67" i="48"/>
  <c r="K66" i="48"/>
  <c r="K65" i="48"/>
  <c r="K64" i="48"/>
  <c r="K63" i="48"/>
  <c r="K61" i="48"/>
  <c r="K60" i="48"/>
  <c r="K59" i="48"/>
  <c r="K58" i="48"/>
  <c r="K57" i="48"/>
  <c r="K55" i="48"/>
  <c r="K54" i="48"/>
  <c r="K53" i="48"/>
  <c r="K52" i="48"/>
  <c r="K51" i="48"/>
  <c r="K50" i="48"/>
  <c r="K49" i="48"/>
  <c r="I37" i="48"/>
  <c r="H37" i="48"/>
  <c r="G37" i="48"/>
  <c r="E37" i="48"/>
  <c r="F36" i="48"/>
  <c r="D36" i="48"/>
  <c r="C36" i="48"/>
  <c r="I35" i="48"/>
  <c r="H35" i="48"/>
  <c r="G35" i="48"/>
  <c r="E35" i="48"/>
  <c r="I34" i="48"/>
  <c r="H34" i="48"/>
  <c r="G34" i="48"/>
  <c r="E34" i="48"/>
  <c r="I33" i="48"/>
  <c r="H33" i="48"/>
  <c r="G33" i="48"/>
  <c r="E33" i="48"/>
  <c r="I32" i="48"/>
  <c r="H32" i="48"/>
  <c r="G32" i="48"/>
  <c r="E32" i="48"/>
  <c r="F31" i="48"/>
  <c r="D31" i="48"/>
  <c r="C31" i="48"/>
  <c r="K70" i="48" s="1"/>
  <c r="I30" i="48"/>
  <c r="H30" i="48"/>
  <c r="G30" i="48"/>
  <c r="E30" i="48"/>
  <c r="I29" i="48"/>
  <c r="H29" i="48"/>
  <c r="G29" i="48"/>
  <c r="E29" i="48"/>
  <c r="F28" i="48"/>
  <c r="D28" i="48"/>
  <c r="C28" i="48"/>
  <c r="I27" i="48"/>
  <c r="H27" i="48"/>
  <c r="G27" i="48"/>
  <c r="E27" i="48"/>
  <c r="F26" i="48"/>
  <c r="D26" i="48"/>
  <c r="C26" i="48"/>
  <c r="K62" i="48" s="1"/>
  <c r="I23" i="48"/>
  <c r="H23" i="48"/>
  <c r="G23" i="48"/>
  <c r="E23" i="48"/>
  <c r="I22" i="48"/>
  <c r="H22" i="48"/>
  <c r="G22" i="48"/>
  <c r="E22" i="48"/>
  <c r="I21" i="48"/>
  <c r="H21" i="48"/>
  <c r="G21" i="48"/>
  <c r="E21" i="48"/>
  <c r="I20" i="48"/>
  <c r="H20" i="48"/>
  <c r="G20" i="48"/>
  <c r="E20" i="48"/>
  <c r="I19" i="48"/>
  <c r="H19" i="48"/>
  <c r="G19" i="48"/>
  <c r="E19" i="48"/>
  <c r="I18" i="48"/>
  <c r="H18" i="48"/>
  <c r="G18" i="48"/>
  <c r="E18" i="48"/>
  <c r="D16" i="48"/>
  <c r="C16" i="48"/>
  <c r="H11" i="48"/>
  <c r="G11" i="48"/>
  <c r="E11" i="48"/>
  <c r="I11" i="48"/>
  <c r="I10" i="48"/>
  <c r="H10" i="48"/>
  <c r="G10" i="48"/>
  <c r="E10" i="48"/>
  <c r="F9" i="48"/>
  <c r="F8" i="48" s="1"/>
  <c r="F12" i="48" s="1"/>
  <c r="D9" i="48"/>
  <c r="C9" i="48"/>
  <c r="I29" i="23"/>
  <c r="H29" i="23"/>
  <c r="G29" i="23"/>
  <c r="E29" i="23"/>
  <c r="F28" i="23"/>
  <c r="D28" i="23"/>
  <c r="C28" i="23"/>
  <c r="I27" i="23"/>
  <c r="H27" i="23"/>
  <c r="G27" i="23"/>
  <c r="E27" i="23"/>
  <c r="I26" i="23"/>
  <c r="H26" i="23"/>
  <c r="G26" i="23"/>
  <c r="E26" i="23"/>
  <c r="I25" i="23"/>
  <c r="H25" i="23"/>
  <c r="G25" i="23"/>
  <c r="E25" i="23"/>
  <c r="F24" i="23"/>
  <c r="D24" i="23"/>
  <c r="C24" i="23"/>
  <c r="I23" i="23"/>
  <c r="H23" i="23"/>
  <c r="G23" i="23"/>
  <c r="E23" i="23"/>
  <c r="I22" i="23"/>
  <c r="H22" i="23"/>
  <c r="G22" i="23"/>
  <c r="E22" i="23"/>
  <c r="I21" i="23"/>
  <c r="H21" i="23"/>
  <c r="G21" i="23"/>
  <c r="E21" i="23"/>
  <c r="G20" i="23"/>
  <c r="E20" i="23"/>
  <c r="I19" i="23"/>
  <c r="H19" i="23"/>
  <c r="G19" i="23"/>
  <c r="E19" i="23"/>
  <c r="I18" i="23"/>
  <c r="H18" i="23"/>
  <c r="G18" i="23"/>
  <c r="E18" i="23"/>
  <c r="G17" i="23"/>
  <c r="E17" i="23"/>
  <c r="D15" i="23"/>
  <c r="I10" i="23"/>
  <c r="H10" i="23"/>
  <c r="G10" i="23"/>
  <c r="E10" i="23"/>
  <c r="H9" i="23"/>
  <c r="G9" i="23"/>
  <c r="E9" i="23"/>
  <c r="I8" i="23"/>
  <c r="H8" i="23"/>
  <c r="G8" i="23"/>
  <c r="E8" i="23"/>
  <c r="F7" i="23"/>
  <c r="F6" i="23" s="1"/>
  <c r="D7" i="23"/>
  <c r="I36" i="22"/>
  <c r="H36" i="22"/>
  <c r="G36" i="22"/>
  <c r="E36" i="22"/>
  <c r="F35" i="22"/>
  <c r="D35" i="22"/>
  <c r="G35" i="22" s="1"/>
  <c r="C35" i="22"/>
  <c r="I34" i="22"/>
  <c r="H34" i="22"/>
  <c r="G34" i="22"/>
  <c r="E34" i="22"/>
  <c r="I33" i="22"/>
  <c r="H33" i="22"/>
  <c r="G33" i="22"/>
  <c r="E33" i="22"/>
  <c r="I32" i="22"/>
  <c r="H32" i="22"/>
  <c r="G32" i="22"/>
  <c r="E32" i="22"/>
  <c r="I31" i="22"/>
  <c r="H31" i="22"/>
  <c r="G31" i="22"/>
  <c r="E31" i="22"/>
  <c r="F30" i="22"/>
  <c r="D30" i="22"/>
  <c r="C30" i="22"/>
  <c r="I29" i="22"/>
  <c r="H29" i="22"/>
  <c r="G29" i="22"/>
  <c r="E29" i="22"/>
  <c r="I28" i="22"/>
  <c r="H28" i="22"/>
  <c r="G28" i="22"/>
  <c r="E28" i="22"/>
  <c r="I27" i="22"/>
  <c r="H27" i="22"/>
  <c r="G27" i="22"/>
  <c r="E27" i="22"/>
  <c r="I26" i="22"/>
  <c r="H26" i="22"/>
  <c r="G26" i="22"/>
  <c r="E26" i="22"/>
  <c r="I25" i="22"/>
  <c r="H25" i="22"/>
  <c r="G25" i="22"/>
  <c r="E25" i="22"/>
  <c r="I24" i="22"/>
  <c r="H24" i="22"/>
  <c r="G24" i="22"/>
  <c r="E24" i="22"/>
  <c r="I23" i="22"/>
  <c r="H23" i="22"/>
  <c r="G23" i="22"/>
  <c r="E23" i="22"/>
  <c r="D21" i="22"/>
  <c r="C21" i="22"/>
  <c r="I16" i="22"/>
  <c r="H16" i="22"/>
  <c r="G16" i="22"/>
  <c r="E16" i="22"/>
  <c r="I15" i="22"/>
  <c r="H15" i="22"/>
  <c r="G15" i="22"/>
  <c r="E15" i="22"/>
  <c r="I14" i="22"/>
  <c r="H14" i="22"/>
  <c r="G14" i="22"/>
  <c r="E14" i="22"/>
  <c r="F13" i="22"/>
  <c r="F12" i="22" s="1"/>
  <c r="D13" i="22"/>
  <c r="D12" i="22" s="1"/>
  <c r="C13" i="22"/>
  <c r="I11" i="22"/>
  <c r="H11" i="22"/>
  <c r="G11" i="22"/>
  <c r="E11" i="22"/>
  <c r="I10" i="22"/>
  <c r="H10" i="22"/>
  <c r="G10" i="22"/>
  <c r="E10" i="22"/>
  <c r="F9" i="22"/>
  <c r="I9" i="22" s="1"/>
  <c r="D9" i="22"/>
  <c r="H9" i="22" s="1"/>
  <c r="C9" i="22"/>
  <c r="I8" i="22"/>
  <c r="H8" i="22"/>
  <c r="G8" i="22"/>
  <c r="E8" i="22"/>
  <c r="F7" i="22"/>
  <c r="F6" i="22" s="1"/>
  <c r="D7" i="22"/>
  <c r="D6" i="22" s="1"/>
  <c r="C7" i="22"/>
  <c r="K126" i="21"/>
  <c r="K125" i="21"/>
  <c r="K123" i="21"/>
  <c r="K122" i="21"/>
  <c r="K121" i="21"/>
  <c r="K119" i="21"/>
  <c r="K116" i="21"/>
  <c r="K114" i="21"/>
  <c r="K113" i="21"/>
  <c r="K112" i="21"/>
  <c r="K111" i="21"/>
  <c r="K110" i="21"/>
  <c r="K108" i="21"/>
  <c r="K107" i="21"/>
  <c r="K106" i="21"/>
  <c r="K105" i="21"/>
  <c r="K104" i="21"/>
  <c r="K103" i="21"/>
  <c r="K102" i="21"/>
  <c r="K100" i="21"/>
  <c r="K99" i="21"/>
  <c r="K98" i="21"/>
  <c r="K97" i="21"/>
  <c r="K94" i="21"/>
  <c r="K93" i="21"/>
  <c r="K92" i="21"/>
  <c r="K91" i="21"/>
  <c r="K90" i="21"/>
  <c r="K89" i="21"/>
  <c r="K88" i="21"/>
  <c r="F77" i="21"/>
  <c r="D77" i="21"/>
  <c r="C77" i="21"/>
  <c r="F75" i="21"/>
  <c r="F74" i="21"/>
  <c r="I72" i="21"/>
  <c r="H72" i="21"/>
  <c r="G72" i="21"/>
  <c r="E72" i="21"/>
  <c r="F71" i="21"/>
  <c r="D71" i="21"/>
  <c r="C71" i="21"/>
  <c r="K124" i="21" s="1"/>
  <c r="I70" i="21"/>
  <c r="H70" i="21"/>
  <c r="G70" i="21"/>
  <c r="E70" i="21"/>
  <c r="I69" i="21"/>
  <c r="H69" i="21"/>
  <c r="G69" i="21"/>
  <c r="E69" i="21"/>
  <c r="I68" i="21"/>
  <c r="H68" i="21"/>
  <c r="G68" i="21"/>
  <c r="E68" i="21"/>
  <c r="F67" i="21"/>
  <c r="D67" i="21"/>
  <c r="C67" i="21"/>
  <c r="I66" i="21"/>
  <c r="H66" i="21"/>
  <c r="G66" i="21"/>
  <c r="E66" i="21"/>
  <c r="F65" i="21"/>
  <c r="D65" i="21"/>
  <c r="C65" i="21"/>
  <c r="I64" i="21"/>
  <c r="H64" i="21"/>
  <c r="G64" i="21"/>
  <c r="E64" i="21"/>
  <c r="F63" i="21"/>
  <c r="D63" i="21"/>
  <c r="C63" i="21"/>
  <c r="K118" i="21" s="1"/>
  <c r="I61" i="21"/>
  <c r="H61" i="21"/>
  <c r="G61" i="21"/>
  <c r="E61" i="21"/>
  <c r="F60" i="21"/>
  <c r="D60" i="21"/>
  <c r="G60" i="21" s="1"/>
  <c r="C60" i="21"/>
  <c r="K115" i="21" s="1"/>
  <c r="I59" i="21"/>
  <c r="H59" i="21"/>
  <c r="G59" i="21"/>
  <c r="E59" i="21"/>
  <c r="F58" i="21"/>
  <c r="I58" i="21" s="1"/>
  <c r="D58" i="21"/>
  <c r="C58" i="21"/>
  <c r="E58" i="21" s="1"/>
  <c r="I57" i="21"/>
  <c r="H57" i="21"/>
  <c r="G57" i="21"/>
  <c r="E57" i="21"/>
  <c r="I56" i="21"/>
  <c r="H56" i="21"/>
  <c r="G56" i="21"/>
  <c r="E56" i="21"/>
  <c r="I55" i="21"/>
  <c r="H55" i="21"/>
  <c r="G55" i="21"/>
  <c r="E55" i="21"/>
  <c r="I54" i="21"/>
  <c r="H54" i="21"/>
  <c r="G54" i="21"/>
  <c r="E54" i="21"/>
  <c r="I53" i="21"/>
  <c r="H53" i="21"/>
  <c r="G53" i="21"/>
  <c r="E53" i="21"/>
  <c r="F52" i="21"/>
  <c r="D52" i="21"/>
  <c r="C52" i="21"/>
  <c r="I51" i="21"/>
  <c r="H51" i="21"/>
  <c r="G51" i="21"/>
  <c r="E51" i="21"/>
  <c r="I50" i="21"/>
  <c r="H50" i="21"/>
  <c r="G50" i="21"/>
  <c r="E50" i="21"/>
  <c r="F49" i="21"/>
  <c r="D49" i="21"/>
  <c r="C49" i="21"/>
  <c r="I47" i="21"/>
  <c r="H47" i="21"/>
  <c r="G47" i="21"/>
  <c r="E47" i="21"/>
  <c r="I46" i="21"/>
  <c r="H46" i="21"/>
  <c r="G46" i="21"/>
  <c r="E46" i="21"/>
  <c r="I45" i="21"/>
  <c r="H45" i="21"/>
  <c r="G45" i="21"/>
  <c r="E45" i="21"/>
  <c r="I44" i="21"/>
  <c r="H44" i="21"/>
  <c r="G44" i="21"/>
  <c r="E44" i="21"/>
  <c r="I43" i="21"/>
  <c r="H43" i="21"/>
  <c r="G43" i="21"/>
  <c r="E43" i="21"/>
  <c r="I42" i="21"/>
  <c r="H42" i="21"/>
  <c r="G42" i="21"/>
  <c r="E42" i="21"/>
  <c r="K101" i="21"/>
  <c r="I40" i="21"/>
  <c r="H40" i="21"/>
  <c r="G40" i="21"/>
  <c r="E40" i="21"/>
  <c r="F39" i="21"/>
  <c r="D39" i="21"/>
  <c r="C39" i="21"/>
  <c r="E39" i="21" s="1"/>
  <c r="I38" i="21"/>
  <c r="H38" i="21"/>
  <c r="G38" i="21"/>
  <c r="E38" i="21"/>
  <c r="I37" i="21"/>
  <c r="H37" i="21"/>
  <c r="G37" i="21"/>
  <c r="E37" i="21"/>
  <c r="I36" i="21"/>
  <c r="H36" i="21"/>
  <c r="G36" i="21"/>
  <c r="E36" i="21"/>
  <c r="I35" i="21"/>
  <c r="H35" i="21"/>
  <c r="G35" i="21"/>
  <c r="E35" i="21"/>
  <c r="I34" i="21"/>
  <c r="H34" i="21"/>
  <c r="G34" i="21"/>
  <c r="E34" i="21"/>
  <c r="F33" i="21"/>
  <c r="D33" i="21"/>
  <c r="C33" i="21"/>
  <c r="I31" i="21"/>
  <c r="H31" i="21"/>
  <c r="G31" i="21"/>
  <c r="E31" i="21"/>
  <c r="I30" i="21"/>
  <c r="H30" i="21"/>
  <c r="G30" i="21"/>
  <c r="E30" i="21"/>
  <c r="I29" i="21"/>
  <c r="H29" i="21"/>
  <c r="G29" i="21"/>
  <c r="E29" i="21"/>
  <c r="I28" i="21"/>
  <c r="H28" i="21"/>
  <c r="G28" i="21"/>
  <c r="E28" i="21"/>
  <c r="I27" i="21"/>
  <c r="H27" i="21"/>
  <c r="G27" i="21"/>
  <c r="E27" i="21"/>
  <c r="I26" i="21"/>
  <c r="H26" i="21"/>
  <c r="G26" i="21"/>
  <c r="E26" i="21"/>
  <c r="I25" i="21"/>
  <c r="H25" i="21"/>
  <c r="G25" i="21"/>
  <c r="E25" i="21"/>
  <c r="F23" i="21"/>
  <c r="G24" i="21"/>
  <c r="C23" i="21"/>
  <c r="I18" i="21"/>
  <c r="H18" i="21"/>
  <c r="G18" i="21"/>
  <c r="E18" i="21"/>
  <c r="I17" i="21"/>
  <c r="H17" i="21"/>
  <c r="G17" i="21"/>
  <c r="E17" i="21"/>
  <c r="C15" i="21"/>
  <c r="I16" i="21"/>
  <c r="H16" i="21"/>
  <c r="G16" i="21"/>
  <c r="E16" i="21"/>
  <c r="F15" i="21"/>
  <c r="F14" i="21" s="1"/>
  <c r="D15" i="21"/>
  <c r="D14" i="21" s="1"/>
  <c r="I13" i="21"/>
  <c r="H13" i="21"/>
  <c r="G13" i="21"/>
  <c r="E13" i="21"/>
  <c r="I12" i="21"/>
  <c r="H12" i="21"/>
  <c r="G12" i="21"/>
  <c r="E12" i="21"/>
  <c r="I11" i="21"/>
  <c r="H11" i="21"/>
  <c r="G11" i="21"/>
  <c r="E11" i="21"/>
  <c r="F10" i="21"/>
  <c r="D10" i="21"/>
  <c r="C10" i="21"/>
  <c r="I9" i="21"/>
  <c r="H9" i="21"/>
  <c r="G9" i="21"/>
  <c r="E9" i="21"/>
  <c r="I8" i="21"/>
  <c r="H8" i="21"/>
  <c r="G8" i="21"/>
  <c r="E8" i="21"/>
  <c r="F7" i="21"/>
  <c r="D7" i="21"/>
  <c r="H7" i="21" s="1"/>
  <c r="C7" i="21"/>
  <c r="C6" i="21" s="1"/>
  <c r="D6" i="21"/>
  <c r="I46" i="15"/>
  <c r="H46" i="15"/>
  <c r="G46" i="15"/>
  <c r="G45" i="15" s="1"/>
  <c r="E46" i="15"/>
  <c r="E45" i="15" s="1"/>
  <c r="F45" i="15"/>
  <c r="D45" i="15"/>
  <c r="C45" i="15"/>
  <c r="I44" i="15"/>
  <c r="H44" i="15"/>
  <c r="G44" i="15"/>
  <c r="E44" i="15"/>
  <c r="I43" i="15"/>
  <c r="H43" i="15"/>
  <c r="G43" i="15"/>
  <c r="E43" i="15"/>
  <c r="I42" i="15"/>
  <c r="H42" i="15"/>
  <c r="G42" i="15"/>
  <c r="E42" i="15"/>
  <c r="I41" i="15"/>
  <c r="H41" i="15"/>
  <c r="G41" i="15"/>
  <c r="E41" i="15"/>
  <c r="F40" i="15"/>
  <c r="D40" i="15"/>
  <c r="C40" i="15"/>
  <c r="I39" i="15"/>
  <c r="H39" i="15"/>
  <c r="G39" i="15"/>
  <c r="E39" i="15"/>
  <c r="I38" i="15"/>
  <c r="H38" i="15"/>
  <c r="G38" i="15"/>
  <c r="E38" i="15"/>
  <c r="F37" i="15"/>
  <c r="D37" i="15"/>
  <c r="C37" i="15"/>
  <c r="H37" i="15" s="1"/>
  <c r="I34" i="15"/>
  <c r="H34" i="15"/>
  <c r="G34" i="15"/>
  <c r="E34" i="15"/>
  <c r="F33" i="15"/>
  <c r="D33" i="15"/>
  <c r="D32" i="15" s="1"/>
  <c r="C33" i="15"/>
  <c r="I31" i="15"/>
  <c r="H31" i="15"/>
  <c r="G31" i="15"/>
  <c r="E31" i="15"/>
  <c r="I30" i="15"/>
  <c r="H30" i="15"/>
  <c r="G30" i="15"/>
  <c r="E30" i="15"/>
  <c r="I29" i="15"/>
  <c r="H29" i="15"/>
  <c r="G29" i="15"/>
  <c r="E29" i="15"/>
  <c r="I28" i="15"/>
  <c r="H28" i="15"/>
  <c r="G28" i="15"/>
  <c r="E28" i="15"/>
  <c r="I27" i="15"/>
  <c r="H27" i="15"/>
  <c r="G27" i="15"/>
  <c r="E27" i="15"/>
  <c r="I26" i="15"/>
  <c r="H26" i="15"/>
  <c r="G26" i="15"/>
  <c r="E26" i="15"/>
  <c r="F24" i="15"/>
  <c r="I19" i="15"/>
  <c r="H19" i="15"/>
  <c r="G19" i="15"/>
  <c r="E19" i="15"/>
  <c r="I18" i="15"/>
  <c r="H18" i="15"/>
  <c r="G18" i="15"/>
  <c r="E18" i="15"/>
  <c r="I17" i="15"/>
  <c r="H17" i="15"/>
  <c r="G17" i="15"/>
  <c r="E17" i="15"/>
  <c r="F16" i="15"/>
  <c r="F15" i="15" s="1"/>
  <c r="D16" i="15"/>
  <c r="C16" i="15"/>
  <c r="I14" i="15"/>
  <c r="H14" i="15"/>
  <c r="G14" i="15"/>
  <c r="E14" i="15"/>
  <c r="I13" i="15"/>
  <c r="H13" i="15"/>
  <c r="G13" i="15"/>
  <c r="E13" i="15"/>
  <c r="I12" i="15"/>
  <c r="H12" i="15"/>
  <c r="G12" i="15"/>
  <c r="E12" i="15"/>
  <c r="F11" i="15"/>
  <c r="D11" i="15"/>
  <c r="C11" i="15"/>
  <c r="I10" i="15"/>
  <c r="H10" i="15"/>
  <c r="G10" i="15"/>
  <c r="E10" i="15"/>
  <c r="F9" i="15"/>
  <c r="D9" i="15"/>
  <c r="C9" i="15"/>
  <c r="I8" i="15"/>
  <c r="H8" i="15"/>
  <c r="G8" i="15"/>
  <c r="E8" i="15"/>
  <c r="F7" i="15"/>
  <c r="D7" i="15"/>
  <c r="C7" i="15"/>
  <c r="C6" i="15" s="1"/>
  <c r="T35" i="20"/>
  <c r="R35" i="20"/>
  <c r="I35" i="20"/>
  <c r="H35" i="20"/>
  <c r="G35" i="20"/>
  <c r="E35" i="20"/>
  <c r="S35" i="20" s="1"/>
  <c r="F34" i="20"/>
  <c r="D34" i="20"/>
  <c r="C34" i="20"/>
  <c r="I33" i="20"/>
  <c r="H33" i="20"/>
  <c r="G33" i="20"/>
  <c r="E33" i="20"/>
  <c r="F32" i="20"/>
  <c r="D32" i="20"/>
  <c r="H32" i="20" s="1"/>
  <c r="C32" i="20"/>
  <c r="T31" i="20"/>
  <c r="R31" i="20"/>
  <c r="I31" i="20"/>
  <c r="H31" i="20"/>
  <c r="G31" i="20"/>
  <c r="E31" i="20"/>
  <c r="S31" i="20" s="1"/>
  <c r="T30" i="20"/>
  <c r="R30" i="20"/>
  <c r="I30" i="20"/>
  <c r="H30" i="20"/>
  <c r="G30" i="20"/>
  <c r="E30" i="20"/>
  <c r="T29" i="20"/>
  <c r="R29" i="20"/>
  <c r="I29" i="20"/>
  <c r="H29" i="20"/>
  <c r="G29" i="20"/>
  <c r="E29" i="20"/>
  <c r="T28" i="20"/>
  <c r="R28" i="20"/>
  <c r="I28" i="20"/>
  <c r="H28" i="20"/>
  <c r="G28" i="20"/>
  <c r="E28" i="20"/>
  <c r="T27" i="20"/>
  <c r="R27" i="20"/>
  <c r="I27" i="20"/>
  <c r="H27" i="20"/>
  <c r="G27" i="20"/>
  <c r="E27" i="20"/>
  <c r="S27" i="20" s="1"/>
  <c r="F26" i="20"/>
  <c r="I26" i="20" s="1"/>
  <c r="D26" i="20"/>
  <c r="C26" i="20"/>
  <c r="T24" i="20"/>
  <c r="R24" i="20"/>
  <c r="I24" i="20"/>
  <c r="H24" i="20"/>
  <c r="G24" i="20"/>
  <c r="U24" i="20" s="1"/>
  <c r="E24" i="20"/>
  <c r="U23" i="20"/>
  <c r="T23" i="20"/>
  <c r="R23" i="20"/>
  <c r="I23" i="20"/>
  <c r="H23" i="20"/>
  <c r="G23" i="20"/>
  <c r="E23" i="20"/>
  <c r="S23" i="20" s="1"/>
  <c r="T22" i="20"/>
  <c r="I22" i="20"/>
  <c r="H22" i="20"/>
  <c r="G22" i="20"/>
  <c r="E22" i="20"/>
  <c r="T21" i="20"/>
  <c r="R21" i="20"/>
  <c r="I21" i="20"/>
  <c r="H21" i="20"/>
  <c r="G21" i="20"/>
  <c r="E21" i="20"/>
  <c r="T20" i="20"/>
  <c r="R20" i="20"/>
  <c r="I20" i="20"/>
  <c r="H20" i="20"/>
  <c r="G20" i="20"/>
  <c r="U20" i="20" s="1"/>
  <c r="E20" i="20"/>
  <c r="T19" i="20"/>
  <c r="R19" i="20"/>
  <c r="I19" i="20"/>
  <c r="H19" i="20"/>
  <c r="G19" i="20"/>
  <c r="E19" i="20"/>
  <c r="S19" i="20" s="1"/>
  <c r="T18" i="20"/>
  <c r="R18" i="20"/>
  <c r="S18" i="20" s="1"/>
  <c r="I18" i="20"/>
  <c r="H18" i="20"/>
  <c r="G18" i="20"/>
  <c r="E18" i="20"/>
  <c r="T17" i="20"/>
  <c r="R17" i="20"/>
  <c r="S17" i="20" s="1"/>
  <c r="G17" i="20"/>
  <c r="U17" i="20" s="1"/>
  <c r="E17" i="20"/>
  <c r="F15" i="20"/>
  <c r="I10" i="20"/>
  <c r="H10" i="20"/>
  <c r="G10" i="20"/>
  <c r="E10" i="20"/>
  <c r="I9" i="20"/>
  <c r="H9" i="20"/>
  <c r="G9" i="20"/>
  <c r="E9" i="20"/>
  <c r="I8" i="20"/>
  <c r="H8" i="20"/>
  <c r="G8" i="20"/>
  <c r="E8" i="20"/>
  <c r="F7" i="20"/>
  <c r="D7" i="20"/>
  <c r="C7" i="20"/>
  <c r="C6" i="20" s="1"/>
  <c r="C11" i="20" s="1"/>
  <c r="I79" i="19"/>
  <c r="H79" i="19"/>
  <c r="G79" i="19"/>
  <c r="E79" i="19"/>
  <c r="F78" i="19"/>
  <c r="D78" i="19"/>
  <c r="C78" i="19"/>
  <c r="I77" i="19"/>
  <c r="H77" i="19"/>
  <c r="G77" i="19"/>
  <c r="E77" i="19"/>
  <c r="F76" i="19"/>
  <c r="F75" i="19" s="1"/>
  <c r="D76" i="19"/>
  <c r="G76" i="19" s="1"/>
  <c r="C76" i="19"/>
  <c r="C75" i="19" s="1"/>
  <c r="I74" i="19"/>
  <c r="H74" i="19"/>
  <c r="G74" i="19"/>
  <c r="E74" i="19"/>
  <c r="F73" i="19"/>
  <c r="D73" i="19"/>
  <c r="C73" i="19"/>
  <c r="I72" i="19"/>
  <c r="H72" i="19"/>
  <c r="G72" i="19"/>
  <c r="E72" i="19"/>
  <c r="I71" i="19"/>
  <c r="H71" i="19"/>
  <c r="G71" i="19"/>
  <c r="E71" i="19"/>
  <c r="I70" i="19"/>
  <c r="H70" i="19"/>
  <c r="G70" i="19"/>
  <c r="E70" i="19"/>
  <c r="I69" i="19"/>
  <c r="H69" i="19"/>
  <c r="G69" i="19"/>
  <c r="E69" i="19"/>
  <c r="I68" i="19"/>
  <c r="H68" i="19"/>
  <c r="G68" i="19"/>
  <c r="E68" i="19"/>
  <c r="F67" i="19"/>
  <c r="D67" i="19"/>
  <c r="C67" i="19"/>
  <c r="I66" i="19"/>
  <c r="H66" i="19"/>
  <c r="G66" i="19"/>
  <c r="E66" i="19"/>
  <c r="I65" i="19"/>
  <c r="H65" i="19"/>
  <c r="G65" i="19"/>
  <c r="E65" i="19"/>
  <c r="F64" i="19"/>
  <c r="D64" i="19"/>
  <c r="C64" i="19"/>
  <c r="I62" i="19"/>
  <c r="H62" i="19"/>
  <c r="G62" i="19"/>
  <c r="E62" i="19"/>
  <c r="I61" i="19"/>
  <c r="H61" i="19"/>
  <c r="G61" i="19"/>
  <c r="E61" i="19"/>
  <c r="I60" i="19"/>
  <c r="H60" i="19"/>
  <c r="G60" i="19"/>
  <c r="E60" i="19"/>
  <c r="I59" i="19"/>
  <c r="H59" i="19"/>
  <c r="G59" i="19"/>
  <c r="E59" i="19"/>
  <c r="I58" i="19"/>
  <c r="H58" i="19"/>
  <c r="G58" i="19"/>
  <c r="E58" i="19"/>
  <c r="I57" i="19"/>
  <c r="H57" i="19"/>
  <c r="G57" i="19"/>
  <c r="E57" i="19"/>
  <c r="I56" i="19"/>
  <c r="H56" i="19"/>
  <c r="G56" i="19"/>
  <c r="E56" i="19"/>
  <c r="I55" i="19"/>
  <c r="H55" i="19"/>
  <c r="G55" i="19"/>
  <c r="E55" i="19"/>
  <c r="I54" i="19"/>
  <c r="H54" i="19"/>
  <c r="G54" i="19"/>
  <c r="E54" i="19"/>
  <c r="H53" i="19"/>
  <c r="G53" i="19"/>
  <c r="I53" i="19"/>
  <c r="E53" i="19"/>
  <c r="I52" i="19"/>
  <c r="H52" i="19"/>
  <c r="G52" i="19"/>
  <c r="E52" i="19"/>
  <c r="I51" i="19"/>
  <c r="H51" i="19"/>
  <c r="G51" i="19"/>
  <c r="E51" i="19"/>
  <c r="F50" i="19"/>
  <c r="D50" i="19"/>
  <c r="C50" i="19"/>
  <c r="E50" i="19" s="1"/>
  <c r="I49" i="19"/>
  <c r="H49" i="19"/>
  <c r="G49" i="19"/>
  <c r="E49" i="19"/>
  <c r="I48" i="19"/>
  <c r="H48" i="19"/>
  <c r="G48" i="19"/>
  <c r="E48" i="19"/>
  <c r="I47" i="19"/>
  <c r="H47" i="19"/>
  <c r="G47" i="19"/>
  <c r="E47" i="19"/>
  <c r="I46" i="19"/>
  <c r="H46" i="19"/>
  <c r="G46" i="19"/>
  <c r="E46" i="19"/>
  <c r="I45" i="19"/>
  <c r="H45" i="19"/>
  <c r="G45" i="19"/>
  <c r="E45" i="19"/>
  <c r="I44" i="19"/>
  <c r="H44" i="19"/>
  <c r="G44" i="19"/>
  <c r="E44" i="19"/>
  <c r="I43" i="19"/>
  <c r="H43" i="19"/>
  <c r="G43" i="19"/>
  <c r="E43" i="19"/>
  <c r="I42" i="19"/>
  <c r="H42" i="19"/>
  <c r="G42" i="19"/>
  <c r="E42" i="19"/>
  <c r="I41" i="19"/>
  <c r="H41" i="19"/>
  <c r="G41" i="19"/>
  <c r="E41" i="19"/>
  <c r="F40" i="19"/>
  <c r="D40" i="19"/>
  <c r="C40" i="19"/>
  <c r="I38" i="19"/>
  <c r="H38" i="19"/>
  <c r="G38" i="19"/>
  <c r="E38" i="19"/>
  <c r="I37" i="19"/>
  <c r="H37" i="19"/>
  <c r="G37" i="19"/>
  <c r="E37" i="19"/>
  <c r="I36" i="19"/>
  <c r="H36" i="19"/>
  <c r="G36" i="19"/>
  <c r="E36" i="19"/>
  <c r="I35" i="19"/>
  <c r="H35" i="19"/>
  <c r="G35" i="19"/>
  <c r="E35" i="19"/>
  <c r="I34" i="19"/>
  <c r="H34" i="19"/>
  <c r="G34" i="19"/>
  <c r="E34" i="19"/>
  <c r="I33" i="19"/>
  <c r="H33" i="19"/>
  <c r="G33" i="19"/>
  <c r="E33" i="19"/>
  <c r="I32" i="19"/>
  <c r="H32" i="19"/>
  <c r="G32" i="19"/>
  <c r="E32" i="19"/>
  <c r="I31" i="19"/>
  <c r="H31" i="19"/>
  <c r="G31" i="19"/>
  <c r="E31" i="19"/>
  <c r="I30" i="19"/>
  <c r="H30" i="19"/>
  <c r="G30" i="19"/>
  <c r="E30" i="19"/>
  <c r="E29" i="19"/>
  <c r="I23" i="19"/>
  <c r="H23" i="19"/>
  <c r="G23" i="19"/>
  <c r="E23" i="19"/>
  <c r="I22" i="19"/>
  <c r="H22" i="19"/>
  <c r="G22" i="19"/>
  <c r="E22" i="19"/>
  <c r="F21" i="19"/>
  <c r="D21" i="19"/>
  <c r="C21" i="19"/>
  <c r="E21" i="19" s="1"/>
  <c r="I20" i="19"/>
  <c r="H20" i="19"/>
  <c r="G20" i="19"/>
  <c r="E20" i="19"/>
  <c r="F19" i="19"/>
  <c r="D19" i="19"/>
  <c r="C19" i="19"/>
  <c r="I18" i="19"/>
  <c r="H18" i="19"/>
  <c r="G18" i="19"/>
  <c r="E18" i="19"/>
  <c r="I17" i="19"/>
  <c r="H17" i="19"/>
  <c r="G17" i="19"/>
  <c r="E17" i="19"/>
  <c r="F16" i="19"/>
  <c r="D16" i="19"/>
  <c r="C16" i="19"/>
  <c r="I14" i="19"/>
  <c r="H14" i="19"/>
  <c r="G14" i="19"/>
  <c r="E14" i="19"/>
  <c r="I13" i="19"/>
  <c r="H13" i="19"/>
  <c r="G13" i="19"/>
  <c r="E13" i="19"/>
  <c r="I12" i="19"/>
  <c r="H12" i="19"/>
  <c r="G12" i="19"/>
  <c r="E12" i="19"/>
  <c r="F11" i="19"/>
  <c r="D11" i="19"/>
  <c r="C11" i="19"/>
  <c r="I10" i="19"/>
  <c r="H10" i="19"/>
  <c r="G10" i="19"/>
  <c r="E10" i="19"/>
  <c r="I9" i="19"/>
  <c r="H9" i="19"/>
  <c r="G9" i="19"/>
  <c r="E9" i="19"/>
  <c r="I8" i="19"/>
  <c r="H8" i="19"/>
  <c r="G8" i="19"/>
  <c r="E8" i="19"/>
  <c r="E7" i="19" s="1"/>
  <c r="F7" i="19"/>
  <c r="F6" i="19" s="1"/>
  <c r="D7" i="19"/>
  <c r="D6" i="19" s="1"/>
  <c r="C7" i="19"/>
  <c r="I7" i="15" l="1"/>
  <c r="E71" i="21"/>
  <c r="I28" i="23"/>
  <c r="I71" i="21"/>
  <c r="I78" i="19"/>
  <c r="S30" i="20"/>
  <c r="H63" i="21"/>
  <c r="U22" i="20"/>
  <c r="S29" i="20"/>
  <c r="G7" i="21"/>
  <c r="I49" i="21"/>
  <c r="I63" i="21"/>
  <c r="I65" i="21"/>
  <c r="H29" i="36"/>
  <c r="U18" i="20"/>
  <c r="S20" i="20"/>
  <c r="E7" i="21"/>
  <c r="E49" i="21"/>
  <c r="H65" i="21"/>
  <c r="I37" i="15"/>
  <c r="H58" i="21"/>
  <c r="G63" i="21"/>
  <c r="I35" i="22"/>
  <c r="D29" i="36"/>
  <c r="D63" i="42"/>
  <c r="S26" i="36"/>
  <c r="U18" i="36"/>
  <c r="G45" i="42"/>
  <c r="I9" i="15"/>
  <c r="H45" i="15"/>
  <c r="E16" i="15"/>
  <c r="F6" i="15"/>
  <c r="F32" i="15"/>
  <c r="H7" i="15"/>
  <c r="E33" i="15"/>
  <c r="C32" i="15"/>
  <c r="P41" i="25"/>
  <c r="R41" i="25" s="1"/>
  <c r="E36" i="48"/>
  <c r="G26" i="48"/>
  <c r="H33" i="21"/>
  <c r="H16" i="19"/>
  <c r="I16" i="19"/>
  <c r="R31" i="36"/>
  <c r="D27" i="36"/>
  <c r="T34" i="20"/>
  <c r="U28" i="20"/>
  <c r="U31" i="20"/>
  <c r="S28" i="20"/>
  <c r="E67" i="19"/>
  <c r="I9" i="48"/>
  <c r="G9" i="48"/>
  <c r="H9" i="48"/>
  <c r="G7" i="23"/>
  <c r="E13" i="22"/>
  <c r="E7" i="22"/>
  <c r="G7" i="22"/>
  <c r="G15" i="21"/>
  <c r="G10" i="21"/>
  <c r="H10" i="21"/>
  <c r="D19" i="21"/>
  <c r="K76" i="48"/>
  <c r="H36" i="48"/>
  <c r="I36" i="48"/>
  <c r="G31" i="48"/>
  <c r="E31" i="48"/>
  <c r="I31" i="48"/>
  <c r="F25" i="48"/>
  <c r="I28" i="48"/>
  <c r="D25" i="48"/>
  <c r="D40" i="48" s="1"/>
  <c r="G17" i="48"/>
  <c r="I17" i="48"/>
  <c r="K48" i="48"/>
  <c r="E17" i="48"/>
  <c r="H28" i="23"/>
  <c r="E24" i="23"/>
  <c r="G24" i="23"/>
  <c r="I24" i="23"/>
  <c r="H24" i="23"/>
  <c r="E16" i="23"/>
  <c r="C15" i="23"/>
  <c r="C30" i="23" s="1"/>
  <c r="I16" i="23"/>
  <c r="H30" i="22"/>
  <c r="H35" i="22"/>
  <c r="E30" i="22"/>
  <c r="D37" i="22"/>
  <c r="I30" i="22"/>
  <c r="G22" i="22"/>
  <c r="E22" i="22"/>
  <c r="I22" i="22"/>
  <c r="G52" i="21"/>
  <c r="G67" i="21"/>
  <c r="E67" i="21"/>
  <c r="H67" i="21"/>
  <c r="D62" i="21"/>
  <c r="E63" i="21"/>
  <c r="C62" i="21"/>
  <c r="H60" i="21"/>
  <c r="I52" i="21"/>
  <c r="K109" i="21"/>
  <c r="H52" i="21"/>
  <c r="E52" i="21"/>
  <c r="F32" i="21"/>
  <c r="G41" i="21"/>
  <c r="H41" i="21"/>
  <c r="I41" i="21"/>
  <c r="G39" i="21"/>
  <c r="H39" i="21"/>
  <c r="G33" i="21"/>
  <c r="E33" i="21"/>
  <c r="I33" i="21"/>
  <c r="D23" i="21"/>
  <c r="H23" i="21" s="1"/>
  <c r="I24" i="21"/>
  <c r="I23" i="21"/>
  <c r="H24" i="21"/>
  <c r="H16" i="15"/>
  <c r="I16" i="15"/>
  <c r="F20" i="15"/>
  <c r="E11" i="15"/>
  <c r="I11" i="15"/>
  <c r="G9" i="15"/>
  <c r="H9" i="15"/>
  <c r="E9" i="15"/>
  <c r="H33" i="15"/>
  <c r="I33" i="15"/>
  <c r="I40" i="15"/>
  <c r="I45" i="15"/>
  <c r="G40" i="15"/>
  <c r="H40" i="15"/>
  <c r="E40" i="15"/>
  <c r="G37" i="15"/>
  <c r="E37" i="15"/>
  <c r="E25" i="15"/>
  <c r="E24" i="15" s="1"/>
  <c r="H25" i="15"/>
  <c r="I25" i="15"/>
  <c r="S18" i="36"/>
  <c r="U24" i="36"/>
  <c r="S46" i="36"/>
  <c r="U32" i="36"/>
  <c r="S30" i="36"/>
  <c r="T27" i="36"/>
  <c r="U49" i="36"/>
  <c r="U46" i="36"/>
  <c r="S35" i="36"/>
  <c r="F39" i="36"/>
  <c r="U19" i="36"/>
  <c r="U34" i="36"/>
  <c r="S23" i="36"/>
  <c r="U23" i="36"/>
  <c r="S16" i="36"/>
  <c r="U43" i="36"/>
  <c r="S43" i="36"/>
  <c r="U41" i="36"/>
  <c r="S41" i="36"/>
  <c r="T51" i="36"/>
  <c r="D45" i="36"/>
  <c r="F45" i="36"/>
  <c r="S49" i="36"/>
  <c r="D39" i="36"/>
  <c r="U40" i="36"/>
  <c r="S40" i="36"/>
  <c r="G39" i="36"/>
  <c r="U35" i="36"/>
  <c r="S47" i="36"/>
  <c r="U47" i="36"/>
  <c r="S34" i="36"/>
  <c r="U33" i="36"/>
  <c r="T31" i="36"/>
  <c r="S33" i="36"/>
  <c r="F31" i="36"/>
  <c r="S32" i="36"/>
  <c r="H31" i="36"/>
  <c r="U30" i="36"/>
  <c r="T29" i="36"/>
  <c r="F27" i="36"/>
  <c r="U27" i="36" s="1"/>
  <c r="U25" i="36"/>
  <c r="S25" i="36"/>
  <c r="S24" i="36"/>
  <c r="U26" i="36"/>
  <c r="U22" i="36"/>
  <c r="F20" i="36"/>
  <c r="S22" i="36"/>
  <c r="D20" i="36"/>
  <c r="U21" i="36"/>
  <c r="H20" i="36"/>
  <c r="S21" i="36"/>
  <c r="F15" i="36"/>
  <c r="H15" i="36"/>
  <c r="S19" i="36"/>
  <c r="S17" i="36"/>
  <c r="U17" i="36"/>
  <c r="U16" i="36"/>
  <c r="C53" i="36"/>
  <c r="C64" i="36" s="1"/>
  <c r="T15" i="36"/>
  <c r="R15" i="36"/>
  <c r="U10" i="36"/>
  <c r="T6" i="36"/>
  <c r="U8" i="36"/>
  <c r="S8" i="36"/>
  <c r="F6" i="36"/>
  <c r="E53" i="36"/>
  <c r="D6" i="36"/>
  <c r="R6" i="36"/>
  <c r="E7" i="20"/>
  <c r="I7" i="20"/>
  <c r="G21" i="19"/>
  <c r="H21" i="19"/>
  <c r="I21" i="19"/>
  <c r="E19" i="19"/>
  <c r="I19" i="19"/>
  <c r="H19" i="19"/>
  <c r="D15" i="19"/>
  <c r="D24" i="19" s="1"/>
  <c r="E16" i="19"/>
  <c r="E11" i="19"/>
  <c r="I11" i="19"/>
  <c r="H7" i="19"/>
  <c r="G7" i="19"/>
  <c r="C6" i="19"/>
  <c r="E6" i="19" s="1"/>
  <c r="I7" i="19"/>
  <c r="U35" i="20"/>
  <c r="H34" i="20"/>
  <c r="G34" i="20"/>
  <c r="U34" i="20" s="1"/>
  <c r="E34" i="20"/>
  <c r="I34" i="20"/>
  <c r="G32" i="20"/>
  <c r="E32" i="20"/>
  <c r="I32" i="20"/>
  <c r="G26" i="20"/>
  <c r="U30" i="20"/>
  <c r="R26" i="20"/>
  <c r="E26" i="20"/>
  <c r="F25" i="20"/>
  <c r="F36" i="20" s="1"/>
  <c r="T26" i="20"/>
  <c r="U29" i="20"/>
  <c r="U27" i="20"/>
  <c r="S24" i="20"/>
  <c r="S21" i="20"/>
  <c r="U21" i="20"/>
  <c r="G16" i="20"/>
  <c r="D15" i="20"/>
  <c r="T15" i="20" s="1"/>
  <c r="U19" i="20"/>
  <c r="T16" i="20"/>
  <c r="R16" i="20"/>
  <c r="E16" i="20"/>
  <c r="C15" i="20"/>
  <c r="H16" i="20"/>
  <c r="I16" i="20"/>
  <c r="E78" i="19"/>
  <c r="H78" i="19"/>
  <c r="H76" i="19"/>
  <c r="I76" i="19"/>
  <c r="I75" i="19"/>
  <c r="H73" i="19"/>
  <c r="I73" i="19"/>
  <c r="H67" i="19"/>
  <c r="I67" i="19"/>
  <c r="I64" i="19"/>
  <c r="H64" i="19"/>
  <c r="F39" i="19"/>
  <c r="G50" i="19"/>
  <c r="H50" i="19"/>
  <c r="E40" i="19"/>
  <c r="H40" i="19"/>
  <c r="I40" i="19"/>
  <c r="C39" i="19"/>
  <c r="H29" i="19"/>
  <c r="I29" i="19"/>
  <c r="B63" i="42"/>
  <c r="H63" i="42" s="1"/>
  <c r="C63" i="42"/>
  <c r="B53" i="36"/>
  <c r="R51" i="36"/>
  <c r="G31" i="36"/>
  <c r="R27" i="36"/>
  <c r="G15" i="36"/>
  <c r="H6" i="36"/>
  <c r="H45" i="36"/>
  <c r="R29" i="36"/>
  <c r="S29" i="36" s="1"/>
  <c r="H27" i="36"/>
  <c r="G6" i="36"/>
  <c r="G45" i="36"/>
  <c r="G27" i="36"/>
  <c r="D31" i="36"/>
  <c r="S31" i="36" s="1"/>
  <c r="G29" i="36"/>
  <c r="D15" i="36"/>
  <c r="H39" i="36"/>
  <c r="F29" i="36"/>
  <c r="G20" i="36"/>
  <c r="K47" i="48"/>
  <c r="E16" i="48"/>
  <c r="H16" i="48"/>
  <c r="C8" i="48"/>
  <c r="C12" i="48" s="1"/>
  <c r="H26" i="48"/>
  <c r="E28" i="48"/>
  <c r="G36" i="48"/>
  <c r="D8" i="48"/>
  <c r="D12" i="48" s="1"/>
  <c r="E9" i="48"/>
  <c r="F16" i="48"/>
  <c r="F40" i="48" s="1"/>
  <c r="I26" i="48"/>
  <c r="H17" i="48"/>
  <c r="G28" i="48"/>
  <c r="H31" i="48"/>
  <c r="H28" i="48"/>
  <c r="C25" i="48"/>
  <c r="C40" i="48" s="1"/>
  <c r="E26" i="48"/>
  <c r="F11" i="23"/>
  <c r="D30" i="23"/>
  <c r="F15" i="23"/>
  <c r="G15" i="23" s="1"/>
  <c r="G30" i="23" s="1"/>
  <c r="I9" i="23"/>
  <c r="H16" i="23"/>
  <c r="G16" i="23"/>
  <c r="E28" i="23"/>
  <c r="C7" i="23"/>
  <c r="G28" i="23"/>
  <c r="D6" i="23"/>
  <c r="D17" i="22"/>
  <c r="G6" i="22"/>
  <c r="G12" i="22"/>
  <c r="C37" i="22"/>
  <c r="E21" i="22"/>
  <c r="F17" i="22"/>
  <c r="H7" i="22"/>
  <c r="E9" i="22"/>
  <c r="G13" i="22"/>
  <c r="I7" i="22"/>
  <c r="H13" i="22"/>
  <c r="F21" i="22"/>
  <c r="E35" i="22"/>
  <c r="G9" i="22"/>
  <c r="I13" i="22"/>
  <c r="H22" i="22"/>
  <c r="H21" i="22"/>
  <c r="C6" i="22"/>
  <c r="I6" i="22" s="1"/>
  <c r="G30" i="22"/>
  <c r="C12" i="22"/>
  <c r="E12" i="22" s="1"/>
  <c r="E15" i="21"/>
  <c r="C14" i="21"/>
  <c r="I15" i="21"/>
  <c r="H15" i="21"/>
  <c r="K86" i="21"/>
  <c r="E6" i="21"/>
  <c r="I10" i="21"/>
  <c r="E24" i="21"/>
  <c r="E41" i="21"/>
  <c r="I60" i="21"/>
  <c r="F62" i="21"/>
  <c r="I67" i="21"/>
  <c r="K87" i="21"/>
  <c r="H6" i="21"/>
  <c r="I7" i="21"/>
  <c r="G14" i="21"/>
  <c r="C32" i="21"/>
  <c r="I39" i="21"/>
  <c r="G49" i="21"/>
  <c r="E65" i="21"/>
  <c r="G71" i="21"/>
  <c r="K96" i="21"/>
  <c r="K120" i="21"/>
  <c r="G58" i="21"/>
  <c r="G65" i="21"/>
  <c r="D32" i="21"/>
  <c r="E10" i="21"/>
  <c r="E60" i="21"/>
  <c r="H49" i="21"/>
  <c r="H71" i="21"/>
  <c r="F6" i="21"/>
  <c r="I6" i="15"/>
  <c r="C15" i="15"/>
  <c r="D6" i="15"/>
  <c r="E6" i="15" s="1"/>
  <c r="E7" i="15"/>
  <c r="G11" i="15"/>
  <c r="D15" i="15"/>
  <c r="C24" i="15"/>
  <c r="H11" i="15"/>
  <c r="D24" i="15"/>
  <c r="F47" i="15"/>
  <c r="G33" i="15"/>
  <c r="G7" i="15"/>
  <c r="G16" i="15"/>
  <c r="G25" i="15"/>
  <c r="G24" i="15" s="1"/>
  <c r="F6" i="20"/>
  <c r="G7" i="20"/>
  <c r="C25" i="20"/>
  <c r="H26" i="20"/>
  <c r="R34" i="20"/>
  <c r="H7" i="20"/>
  <c r="D25" i="20"/>
  <c r="D6" i="20"/>
  <c r="E6" i="20" s="1"/>
  <c r="E11" i="20" s="1"/>
  <c r="C28" i="19"/>
  <c r="E64" i="19"/>
  <c r="H6" i="19"/>
  <c r="C15" i="19"/>
  <c r="D28" i="19"/>
  <c r="G67" i="19"/>
  <c r="G78" i="19"/>
  <c r="G6" i="19"/>
  <c r="G11" i="19"/>
  <c r="I50" i="19"/>
  <c r="G64" i="19"/>
  <c r="E73" i="19"/>
  <c r="I6" i="19"/>
  <c r="H11" i="19"/>
  <c r="G19" i="19"/>
  <c r="F28" i="19"/>
  <c r="G29" i="19"/>
  <c r="D39" i="19"/>
  <c r="F15" i="19"/>
  <c r="G16" i="19"/>
  <c r="G73" i="19"/>
  <c r="D75" i="19"/>
  <c r="E76" i="19"/>
  <c r="G40" i="19"/>
  <c r="S27" i="36" l="1"/>
  <c r="E14" i="21"/>
  <c r="E19" i="21" s="1"/>
  <c r="S34" i="20"/>
  <c r="H14" i="21"/>
  <c r="I14" i="21"/>
  <c r="G25" i="48"/>
  <c r="H15" i="23"/>
  <c r="H30" i="23"/>
  <c r="E15" i="23"/>
  <c r="E30" i="23" s="1"/>
  <c r="H37" i="22"/>
  <c r="E37" i="22"/>
  <c r="F73" i="21"/>
  <c r="F78" i="21" s="1"/>
  <c r="G62" i="21"/>
  <c r="H62" i="21"/>
  <c r="K117" i="21"/>
  <c r="E62" i="21"/>
  <c r="I62" i="21"/>
  <c r="I32" i="21"/>
  <c r="C73" i="21"/>
  <c r="G23" i="21"/>
  <c r="E23" i="21"/>
  <c r="D73" i="21"/>
  <c r="D74" i="21" s="1"/>
  <c r="E32" i="15"/>
  <c r="E47" i="15" s="1"/>
  <c r="C47" i="15"/>
  <c r="I47" i="15" s="1"/>
  <c r="B64" i="36"/>
  <c r="U15" i="36"/>
  <c r="S51" i="36"/>
  <c r="U51" i="36"/>
  <c r="U31" i="36"/>
  <c r="U29" i="36"/>
  <c r="S15" i="36"/>
  <c r="U6" i="36"/>
  <c r="F53" i="36"/>
  <c r="S6" i="36"/>
  <c r="G53" i="36"/>
  <c r="H53" i="36"/>
  <c r="E15" i="19"/>
  <c r="E24" i="19" s="1"/>
  <c r="I15" i="19"/>
  <c r="U26" i="20"/>
  <c r="I25" i="20"/>
  <c r="S26" i="20"/>
  <c r="G15" i="20"/>
  <c r="U15" i="20" s="1"/>
  <c r="U16" i="20"/>
  <c r="S16" i="20"/>
  <c r="R15" i="20"/>
  <c r="H15" i="20"/>
  <c r="E15" i="20"/>
  <c r="I15" i="20"/>
  <c r="I39" i="19"/>
  <c r="E39" i="19"/>
  <c r="G63" i="42"/>
  <c r="D53" i="36"/>
  <c r="E25" i="48"/>
  <c r="E40" i="48" s="1"/>
  <c r="K56" i="48"/>
  <c r="I16" i="48"/>
  <c r="I40" i="48"/>
  <c r="H25" i="48"/>
  <c r="E8" i="48"/>
  <c r="E12" i="48" s="1"/>
  <c r="I12" i="48"/>
  <c r="I8" i="48"/>
  <c r="H8" i="48"/>
  <c r="G8" i="48"/>
  <c r="G12" i="48" s="1"/>
  <c r="H40" i="48"/>
  <c r="I25" i="48"/>
  <c r="G16" i="48"/>
  <c r="I15" i="23"/>
  <c r="F30" i="23"/>
  <c r="I30" i="23" s="1"/>
  <c r="G6" i="23"/>
  <c r="G11" i="23" s="1"/>
  <c r="D11" i="23"/>
  <c r="C6" i="23"/>
  <c r="E7" i="23"/>
  <c r="I7" i="23"/>
  <c r="H7" i="23"/>
  <c r="F37" i="22"/>
  <c r="I37" i="22" s="1"/>
  <c r="I21" i="22"/>
  <c r="G21" i="22"/>
  <c r="G37" i="22" s="1"/>
  <c r="H12" i="22"/>
  <c r="G17" i="22"/>
  <c r="C17" i="22"/>
  <c r="I17" i="22" s="1"/>
  <c r="E6" i="22"/>
  <c r="E17" i="22" s="1"/>
  <c r="I12" i="22"/>
  <c r="H6" i="22"/>
  <c r="H32" i="21"/>
  <c r="G32" i="21"/>
  <c r="I6" i="21"/>
  <c r="F19" i="21"/>
  <c r="G6" i="21"/>
  <c r="G19" i="21" s="1"/>
  <c r="C19" i="21"/>
  <c r="H19" i="21" s="1"/>
  <c r="E32" i="21"/>
  <c r="K95" i="21"/>
  <c r="D47" i="15"/>
  <c r="H24" i="15"/>
  <c r="I24" i="15"/>
  <c r="I15" i="15"/>
  <c r="E15" i="15"/>
  <c r="E20" i="15" s="1"/>
  <c r="H15" i="15"/>
  <c r="G15" i="15"/>
  <c r="C20" i="15"/>
  <c r="I20" i="15" s="1"/>
  <c r="H6" i="15"/>
  <c r="G6" i="15"/>
  <c r="D20" i="15"/>
  <c r="I32" i="15"/>
  <c r="H32" i="15"/>
  <c r="G32" i="15"/>
  <c r="G47" i="15" s="1"/>
  <c r="H25" i="20"/>
  <c r="G25" i="20"/>
  <c r="T25" i="20"/>
  <c r="F11" i="20"/>
  <c r="I11" i="20" s="1"/>
  <c r="I6" i="20"/>
  <c r="D36" i="20"/>
  <c r="H6" i="20"/>
  <c r="G6" i="20"/>
  <c r="G11" i="20" s="1"/>
  <c r="D11" i="20"/>
  <c r="H11" i="20" s="1"/>
  <c r="E25" i="20"/>
  <c r="R25" i="20"/>
  <c r="C36" i="20"/>
  <c r="I36" i="20" s="1"/>
  <c r="E28" i="19"/>
  <c r="C80" i="19"/>
  <c r="G39" i="19"/>
  <c r="H39" i="19"/>
  <c r="F24" i="19"/>
  <c r="G15" i="19"/>
  <c r="G24" i="19" s="1"/>
  <c r="I28" i="19"/>
  <c r="F80" i="19"/>
  <c r="H75" i="19"/>
  <c r="G75" i="19"/>
  <c r="E75" i="19"/>
  <c r="H28" i="19"/>
  <c r="G28" i="19"/>
  <c r="D80" i="19"/>
  <c r="C24" i="19"/>
  <c r="H24" i="19" s="1"/>
  <c r="H15" i="19"/>
  <c r="H17" i="22" l="1"/>
  <c r="G40" i="48"/>
  <c r="I19" i="21"/>
  <c r="E75" i="21"/>
  <c r="E74" i="21"/>
  <c r="I73" i="21"/>
  <c r="G73" i="21"/>
  <c r="G75" i="21" s="1"/>
  <c r="C78" i="21"/>
  <c r="C75" i="21"/>
  <c r="C74" i="21"/>
  <c r="D75" i="21"/>
  <c r="D78" i="21"/>
  <c r="H73" i="21"/>
  <c r="E73" i="21"/>
  <c r="H47" i="15"/>
  <c r="S15" i="20"/>
  <c r="G80" i="19"/>
  <c r="H80" i="19"/>
  <c r="H12" i="48"/>
  <c r="C11" i="23"/>
  <c r="I11" i="23" s="1"/>
  <c r="E6" i="23"/>
  <c r="E11" i="23" s="1"/>
  <c r="I6" i="23"/>
  <c r="H6" i="23"/>
  <c r="H20" i="15"/>
  <c r="G20" i="15"/>
  <c r="S25" i="20"/>
  <c r="E36" i="20"/>
  <c r="T36" i="20"/>
  <c r="H36" i="20"/>
  <c r="U25" i="20"/>
  <c r="R36" i="20"/>
  <c r="G36" i="20"/>
  <c r="I24" i="19"/>
  <c r="E80" i="19"/>
  <c r="I80" i="19"/>
  <c r="S36" i="20" l="1"/>
  <c r="G74" i="21"/>
  <c r="U36" i="20"/>
  <c r="H11" i="23"/>
  <c r="F15" i="1"/>
  <c r="C14" i="1" l="1"/>
  <c r="E14" i="1"/>
  <c r="C13" i="1"/>
  <c r="C12" i="1"/>
  <c r="D13" i="1" l="1"/>
  <c r="H13" i="1" s="1"/>
  <c r="F12" i="1"/>
  <c r="I12" i="1" s="1"/>
  <c r="F10" i="1"/>
  <c r="D10" i="1"/>
  <c r="D9" i="1" s="1"/>
  <c r="D15" i="1"/>
  <c r="G14" i="1"/>
  <c r="C10" i="1"/>
  <c r="C9" i="1" s="1"/>
  <c r="E10" i="1"/>
  <c r="E9" i="1" s="1"/>
  <c r="F13" i="1" l="1"/>
  <c r="I13" i="1" s="1"/>
  <c r="D12" i="1"/>
  <c r="H12" i="1" s="1"/>
  <c r="H10" i="1"/>
  <c r="H9" i="1"/>
  <c r="I10" i="1"/>
  <c r="F9" i="1"/>
  <c r="I9" i="1" s="1"/>
  <c r="E15" i="1"/>
  <c r="G15" i="1"/>
  <c r="C15" i="1"/>
  <c r="F14" i="1"/>
  <c r="I14" i="1" s="1"/>
  <c r="D14" i="1"/>
  <c r="H14" i="1" s="1"/>
  <c r="G13" i="1"/>
  <c r="E13" i="1"/>
  <c r="E12" i="1"/>
  <c r="G12" i="1"/>
  <c r="G10" i="1"/>
  <c r="G9" i="1" s="1"/>
  <c r="F8" i="1"/>
  <c r="F11" i="1" l="1"/>
  <c r="C7" i="1"/>
  <c r="H15" i="1"/>
  <c r="I15" i="1"/>
  <c r="C11" i="1"/>
  <c r="D11" i="1"/>
  <c r="G11" i="1"/>
  <c r="E11" i="1"/>
  <c r="D8" i="1"/>
  <c r="I11" i="1" l="1"/>
  <c r="H11" i="1"/>
  <c r="G7" i="1"/>
  <c r="G8" i="1"/>
  <c r="E8" i="1"/>
  <c r="E7" i="1"/>
  <c r="E6" i="1" l="1"/>
  <c r="E16" i="1" s="1"/>
  <c r="F7" i="1"/>
  <c r="I7" i="1" s="1"/>
  <c r="D7" i="1"/>
  <c r="H7" i="1" s="1"/>
  <c r="G6" i="1"/>
  <c r="G16" i="1" s="1"/>
  <c r="C8" i="1"/>
  <c r="D6" i="1" l="1"/>
  <c r="D16" i="1" s="1"/>
  <c r="I8" i="1"/>
  <c r="H8" i="1"/>
  <c r="C6" i="1"/>
  <c r="C16" i="1" s="1"/>
  <c r="F6" i="1"/>
  <c r="H6" i="1" l="1"/>
  <c r="H16" i="1"/>
  <c r="F16" i="1"/>
  <c r="I16" i="1" s="1"/>
  <c r="I6" i="1"/>
  <c r="N43" i="25" l="1"/>
  <c r="N40" i="25"/>
  <c r="M43" i="25"/>
  <c r="M40" i="25"/>
  <c r="K40" i="25"/>
  <c r="J40" i="25"/>
  <c r="H43" i="25"/>
  <c r="H40" i="25"/>
  <c r="G43" i="25"/>
  <c r="G40" i="25"/>
  <c r="E43" i="25"/>
  <c r="E40" i="25"/>
  <c r="D47" i="25"/>
  <c r="D43" i="25"/>
  <c r="D40" i="25"/>
  <c r="E31" i="25"/>
  <c r="E29" i="25"/>
  <c r="E27" i="25"/>
  <c r="D29" i="25"/>
  <c r="D27" i="25"/>
  <c r="H9" i="25"/>
  <c r="G9" i="25"/>
  <c r="E12" i="25"/>
  <c r="K12" i="25" s="1"/>
  <c r="L12" i="25" s="1"/>
  <c r="E10" i="25"/>
  <c r="K10" i="25" s="1"/>
  <c r="L10" i="25" s="1"/>
  <c r="E9" i="25"/>
  <c r="D12" i="25"/>
  <c r="J12" i="25" s="1"/>
  <c r="D10" i="25"/>
  <c r="J10" i="25" s="1"/>
  <c r="D9" i="25"/>
  <c r="I14" i="25"/>
  <c r="Q43" i="25" l="1"/>
  <c r="P43" i="25"/>
  <c r="P40" i="25"/>
  <c r="Q40" i="25"/>
  <c r="R40" i="25" s="1"/>
  <c r="K9" i="25"/>
  <c r="J9" i="25"/>
  <c r="L9" i="25"/>
  <c r="O40" i="25"/>
  <c r="I40" i="25"/>
  <c r="L40" i="25"/>
  <c r="I43" i="25"/>
  <c r="R43" i="25" l="1"/>
  <c r="N45" i="25"/>
  <c r="N44" i="25"/>
  <c r="N39" i="25"/>
  <c r="M44" i="25" l="1"/>
  <c r="M45" i="25"/>
  <c r="M39" i="25"/>
  <c r="D29" i="1"/>
  <c r="O45" i="25" l="1"/>
  <c r="O44" i="25"/>
  <c r="M42" i="25"/>
  <c r="C29" i="1"/>
  <c r="F29" i="1"/>
  <c r="N42" i="25"/>
  <c r="E29" i="1"/>
  <c r="G29" i="1"/>
  <c r="O42" i="25" l="1"/>
  <c r="H17" i="25"/>
  <c r="G8" i="25"/>
  <c r="H8" i="25"/>
  <c r="E17" i="25"/>
  <c r="D17" i="25"/>
  <c r="E16" i="25"/>
  <c r="K16" i="25" s="1"/>
  <c r="E15" i="25"/>
  <c r="K15" i="25" s="1"/>
  <c r="L15" i="25" s="1"/>
  <c r="D15" i="25"/>
  <c r="J15" i="25" s="1"/>
  <c r="E13" i="25"/>
  <c r="K13" i="25" s="1"/>
  <c r="D13" i="25"/>
  <c r="J13" i="25" s="1"/>
  <c r="E8" i="25"/>
  <c r="K17" i="25" l="1"/>
  <c r="L13" i="25"/>
  <c r="K8" i="25"/>
  <c r="G17" i="25"/>
  <c r="I17" i="25" s="1"/>
  <c r="D8" i="25"/>
  <c r="J8" i="25" s="1"/>
  <c r="L8" i="25" l="1"/>
  <c r="J17" i="25"/>
  <c r="L17" i="25" s="1"/>
  <c r="D16" i="25"/>
  <c r="J16" i="25" s="1"/>
  <c r="L16" i="25" s="1"/>
  <c r="H11" i="25"/>
  <c r="E11" i="25"/>
  <c r="G11" i="25"/>
  <c r="K11" i="25" l="1"/>
  <c r="K18" i="25" s="1"/>
  <c r="I11" i="25"/>
  <c r="D11" i="25"/>
  <c r="J11" i="25" s="1"/>
  <c r="J18" i="25" s="1"/>
  <c r="L18" i="25" l="1"/>
  <c r="L11" i="25"/>
  <c r="F29" i="25"/>
  <c r="F15" i="25" l="1"/>
  <c r="O39" i="25" l="1"/>
  <c r="M48" i="25" l="1"/>
  <c r="N48" i="25" l="1"/>
  <c r="O48" i="25" s="1"/>
  <c r="E28" i="25" l="1"/>
  <c r="D28" i="25"/>
  <c r="E46" i="25"/>
  <c r="Q46" i="25" s="1"/>
  <c r="D46" i="25"/>
  <c r="P46" i="25" s="1"/>
  <c r="R46" i="25" l="1"/>
  <c r="F28" i="25"/>
  <c r="K39" i="25" l="1"/>
  <c r="J39" i="25"/>
  <c r="H39" i="25"/>
  <c r="G39" i="25"/>
  <c r="E39" i="25" l="1"/>
  <c r="Q39" i="25" s="1"/>
  <c r="D39" i="25"/>
  <c r="P39" i="25" s="1"/>
  <c r="E26" i="25"/>
  <c r="D26" i="25"/>
  <c r="R39" i="25" l="1"/>
  <c r="F27" i="25"/>
  <c r="K47" i="25" l="1"/>
  <c r="J44" i="25"/>
  <c r="H47" i="25"/>
  <c r="D45" i="25"/>
  <c r="P45" i="25" s="1"/>
  <c r="J47" i="25" l="1"/>
  <c r="L47" i="25" s="1"/>
  <c r="G47" i="25"/>
  <c r="P47" i="25" s="1"/>
  <c r="D31" i="25"/>
  <c r="F31" i="25" s="1"/>
  <c r="E30" i="25"/>
  <c r="E32" i="25" s="1"/>
  <c r="E44" i="25"/>
  <c r="H44" i="25"/>
  <c r="H48" i="25" s="1"/>
  <c r="E45" i="25"/>
  <c r="I9" i="25"/>
  <c r="G44" i="25"/>
  <c r="D44" i="25"/>
  <c r="Q45" i="25" l="1"/>
  <c r="R45" i="25" s="1"/>
  <c r="P44" i="25"/>
  <c r="D27" i="1"/>
  <c r="I44" i="25"/>
  <c r="I47" i="25"/>
  <c r="K44" i="25"/>
  <c r="L44" i="25" s="1"/>
  <c r="E47" i="25"/>
  <c r="F27" i="1"/>
  <c r="J48" i="25"/>
  <c r="D28" i="1"/>
  <c r="E42" i="25"/>
  <c r="Q42" i="25" s="1"/>
  <c r="G48" i="25"/>
  <c r="L39" i="25"/>
  <c r="I39" i="25"/>
  <c r="F40" i="25"/>
  <c r="F43" i="25"/>
  <c r="I8" i="25"/>
  <c r="F9" i="25"/>
  <c r="F10" i="25"/>
  <c r="F12" i="25"/>
  <c r="C28" i="1"/>
  <c r="C27" i="1"/>
  <c r="G21" i="1"/>
  <c r="G18" i="25"/>
  <c r="D22" i="1"/>
  <c r="Q44" i="25" l="1"/>
  <c r="Q47" i="25"/>
  <c r="R47" i="25" s="1"/>
  <c r="R44" i="25"/>
  <c r="C26" i="1"/>
  <c r="C25" i="1" s="1"/>
  <c r="D42" i="25"/>
  <c r="E28" i="1"/>
  <c r="G28" i="1"/>
  <c r="I48" i="25"/>
  <c r="G27" i="1"/>
  <c r="E27" i="1"/>
  <c r="F26" i="1"/>
  <c r="K48" i="25"/>
  <c r="L48" i="25" s="1"/>
  <c r="F44" i="25"/>
  <c r="F45" i="25"/>
  <c r="F39" i="25"/>
  <c r="F47" i="25"/>
  <c r="F8" i="25"/>
  <c r="F17" i="25"/>
  <c r="F14" i="25"/>
  <c r="F13" i="25"/>
  <c r="E21" i="1"/>
  <c r="H18" i="25"/>
  <c r="I18" i="25" s="1"/>
  <c r="F28" i="1"/>
  <c r="D26" i="1"/>
  <c r="D25" i="1" s="1"/>
  <c r="E22" i="1"/>
  <c r="F22" i="1"/>
  <c r="G22" i="1"/>
  <c r="G20" i="1" s="1"/>
  <c r="C22" i="1"/>
  <c r="P42" i="25" l="1"/>
  <c r="P48" i="25" s="1"/>
  <c r="Q48" i="25"/>
  <c r="F25" i="1"/>
  <c r="E20" i="1"/>
  <c r="G26" i="1"/>
  <c r="G25" i="1" s="1"/>
  <c r="E26" i="1"/>
  <c r="E25" i="1" s="1"/>
  <c r="E48" i="25"/>
  <c r="F42" i="25"/>
  <c r="D48" i="25"/>
  <c r="F46" i="25"/>
  <c r="E18" i="25"/>
  <c r="D18" i="25"/>
  <c r="F21" i="1"/>
  <c r="F20" i="1" s="1"/>
  <c r="C21" i="1"/>
  <c r="C20" i="1" s="1"/>
  <c r="F11" i="25"/>
  <c r="F16" i="25"/>
  <c r="D21" i="1"/>
  <c r="D20" i="1" s="1"/>
  <c r="R42" i="25" l="1"/>
  <c r="R48" i="25"/>
  <c r="F48" i="25"/>
  <c r="F18" i="25"/>
  <c r="H20" i="1" l="1"/>
  <c r="I20" i="1"/>
  <c r="F26" i="25" l="1"/>
  <c r="D30" i="25" l="1"/>
  <c r="F30" i="25" s="1"/>
  <c r="C24" i="1"/>
  <c r="E24" i="1" l="1"/>
  <c r="E23" i="1" s="1"/>
  <c r="D32" i="25"/>
  <c r="F32" i="25" s="1"/>
  <c r="D24" i="1"/>
  <c r="D23" i="1" s="1"/>
  <c r="F24" i="1"/>
  <c r="C23" i="1"/>
  <c r="G24" i="1" l="1"/>
  <c r="G23" i="1" s="1"/>
  <c r="F23" i="1"/>
  <c r="I23" i="1" s="1"/>
  <c r="H23" i="1"/>
  <c r="F30" i="1" l="1"/>
  <c r="H27" i="1" l="1"/>
  <c r="H28" i="1" l="1"/>
  <c r="H22" i="1"/>
  <c r="I28" i="1"/>
  <c r="I27" i="1"/>
  <c r="I22" i="1"/>
  <c r="I24" i="1" l="1"/>
  <c r="I21" i="1" l="1"/>
  <c r="H26" i="1"/>
  <c r="I26" i="1"/>
  <c r="H21" i="1" l="1"/>
  <c r="H24" i="1"/>
  <c r="I29" i="1" l="1"/>
  <c r="C30" i="1" l="1"/>
  <c r="I25" i="1"/>
  <c r="I30" i="1" l="1"/>
  <c r="H29" i="1" l="1"/>
  <c r="E30" i="1"/>
  <c r="G30" i="1"/>
  <c r="H25" i="1" l="1"/>
  <c r="D30" i="1" l="1"/>
  <c r="H30" i="1" s="1"/>
</calcChain>
</file>

<file path=xl/sharedStrings.xml><?xml version="1.0" encoding="utf-8"?>
<sst xmlns="http://schemas.openxmlformats.org/spreadsheetml/2006/main" count="1035" uniqueCount="342">
  <si>
    <t>CÓDIGO</t>
  </si>
  <si>
    <t>CATÁLOGO PRESUPUESTARIO</t>
  </si>
  <si>
    <t>PRESUPUESTO</t>
  </si>
  <si>
    <t>COMPROMISO</t>
  </si>
  <si>
    <t>DISPONIBILIDAD PRESUPUESTARIA</t>
  </si>
  <si>
    <t>DEVENGADO</t>
  </si>
  <si>
    <t>DISPONIBILIDAD POR DEVENGADO</t>
  </si>
  <si>
    <t>% COMPROMISO</t>
  </si>
  <si>
    <t>% EJECUCIÓN</t>
  </si>
  <si>
    <t>GASTOS EN PERSONAL</t>
  </si>
  <si>
    <t>Planilla</t>
  </si>
  <si>
    <t>Asignación por Desempeño de Funciones Críticas</t>
  </si>
  <si>
    <t>Trabajos Extraordinarios</t>
  </si>
  <si>
    <t>Comisiones de Servicios en el País</t>
  </si>
  <si>
    <t>Comisiones de Servicios en el Exterior</t>
  </si>
  <si>
    <t>Honorarios a Suma Alzada - Personas Naturales</t>
  </si>
  <si>
    <t>BIENES Y SERVICIOS DE CONSUMO</t>
  </si>
  <si>
    <t>ADQUISICION DE ACTIVOS NO FINANCIEROS</t>
  </si>
  <si>
    <t>29.03</t>
  </si>
  <si>
    <t>Vehículos</t>
  </si>
  <si>
    <t>29.04</t>
  </si>
  <si>
    <t>Mobiliario y Otros</t>
  </si>
  <si>
    <t>29.05</t>
  </si>
  <si>
    <t>Máquinas y Equipos</t>
  </si>
  <si>
    <t>29.06</t>
  </si>
  <si>
    <t>Equipos Informáticos</t>
  </si>
  <si>
    <t>29.07</t>
  </si>
  <si>
    <t>Programas Informáticos</t>
  </si>
  <si>
    <t>SALDO FINAL DE CAJA</t>
  </si>
  <si>
    <t>TOTAL</t>
  </si>
  <si>
    <t>PROGRAMA 01 SUBSECRETARIA DE LAS CULTURAS Y LAS ARTES</t>
  </si>
  <si>
    <t>PRESTACIONES DE SEGURIDAD SOCIAL</t>
  </si>
  <si>
    <t>TRANSFERENCIAS CORRIENTES</t>
  </si>
  <si>
    <t>24.01</t>
  </si>
  <si>
    <t>Al Sector Privado</t>
  </si>
  <si>
    <t>24.01.081</t>
  </si>
  <si>
    <t>Fundación Artesanías De Chile</t>
  </si>
  <si>
    <t>24.01.188</t>
  </si>
  <si>
    <t>Corporación Cultural Municipalidad De Santiago</t>
  </si>
  <si>
    <t>24.01.268</t>
  </si>
  <si>
    <t>Orquestas Sinfónicas Juveniles E Infantiles De Chile</t>
  </si>
  <si>
    <t>24.01.269</t>
  </si>
  <si>
    <t>Centro Cultural Palacios De La Moneda</t>
  </si>
  <si>
    <t>24.01.279</t>
  </si>
  <si>
    <t>Corporación Centro Cultural Gabriela Mistral</t>
  </si>
  <si>
    <t>24.01.290</t>
  </si>
  <si>
    <t>Otras Instituciones Colaboradoras</t>
  </si>
  <si>
    <t>24.01.291</t>
  </si>
  <si>
    <t>Parque Cultural Valparaíso</t>
  </si>
  <si>
    <t>24.01.292</t>
  </si>
  <si>
    <t>Programa de Orquestas Regionales Profesionales</t>
  </si>
  <si>
    <t>24.02</t>
  </si>
  <si>
    <t>Al Gobierno Central</t>
  </si>
  <si>
    <t>24.02.002</t>
  </si>
  <si>
    <t>Ministerio De Relaciones Exteriores</t>
  </si>
  <si>
    <t>24.03</t>
  </si>
  <si>
    <t>A Otras Entidades Públicas</t>
  </si>
  <si>
    <t>24.03.087</t>
  </si>
  <si>
    <t>Actividades De Fomento Y Desarrollo Cultural</t>
  </si>
  <si>
    <t>24.03.098</t>
  </si>
  <si>
    <t>Conjuntos Artísticos Estables</t>
  </si>
  <si>
    <t>24.03.122</t>
  </si>
  <si>
    <t>Fomento del Arte en la Educación</t>
  </si>
  <si>
    <t>24.03.129</t>
  </si>
  <si>
    <t>24.03.135</t>
  </si>
  <si>
    <t>24.03.138</t>
  </si>
  <si>
    <t>24.03.139</t>
  </si>
  <si>
    <t>Programa Nacional de Desarrollo Artístico en la Educación</t>
  </si>
  <si>
    <t>24.03.145</t>
  </si>
  <si>
    <t>Programa de Exportación de Servicios</t>
  </si>
  <si>
    <t>INTEGROS AL FISCO</t>
  </si>
  <si>
    <t>INICIATIVAS DE INVERSION</t>
  </si>
  <si>
    <t>31.02</t>
  </si>
  <si>
    <t>Proyectos</t>
  </si>
  <si>
    <t>TRANSFERENCIAS DE CAPITAL</t>
  </si>
  <si>
    <t>33.03</t>
  </si>
  <si>
    <t>33.03.002</t>
  </si>
  <si>
    <t>Programa de Financiamiento de Infraestructura Cultural Pública y/o Privada</t>
  </si>
  <si>
    <t>SERVICIO DE LA DEUDA</t>
  </si>
  <si>
    <t>34.07</t>
  </si>
  <si>
    <t>Deuda Flotante</t>
  </si>
  <si>
    <t xml:space="preserve"> </t>
  </si>
  <si>
    <t>PROGRAMA 02 FONDOS CULTURALES Y ARTÍSTICOS</t>
  </si>
  <si>
    <t>24.03.094</t>
  </si>
  <si>
    <t>Fondo Nacional De Fomento Del Libro Y La Lectura</t>
  </si>
  <si>
    <t>24.03.097</t>
  </si>
  <si>
    <t>Fondo Nacional De Desarrollo Cultural Y Las Artes</t>
  </si>
  <si>
    <t>24.03.520</t>
  </si>
  <si>
    <t>Fondos Para El Fomento De La Música Nacional</t>
  </si>
  <si>
    <t>24.03.521</t>
  </si>
  <si>
    <t>Fondo De Fomento Audiovisual</t>
  </si>
  <si>
    <t>TOTAL GASTOS</t>
  </si>
  <si>
    <t>PROGRAMA 01 SERVICIO NACIONAL DEL PATRIMONIO CULTURAL</t>
  </si>
  <si>
    <t>Instituciones Colaboradoras</t>
  </si>
  <si>
    <t>Museo San Francisco</t>
  </si>
  <si>
    <t>Fundación Museo De La Memoria</t>
  </si>
  <si>
    <t>Sitios Patrimonio Mundial</t>
  </si>
  <si>
    <t>Acciones Culturales Complementarias</t>
  </si>
  <si>
    <t>Centro Nacional del Patrimonio Mundial</t>
  </si>
  <si>
    <t>Fomento y Desarrollo del Patrimonio Nacional</t>
  </si>
  <si>
    <t>Sistema Nacional de Patrimonio Material e Inmateri</t>
  </si>
  <si>
    <t>Fomento y Difusión del Arte y las Culturas de Pueb</t>
  </si>
  <si>
    <t>33.01</t>
  </si>
  <si>
    <t>Fondo de Mejoramiento Integral de Museos</t>
  </si>
  <si>
    <t>Programa de Mejoramiento Integral de Bibliotecas P</t>
  </si>
  <si>
    <t>Fondo del Patrimonio Ley N°21,045</t>
  </si>
  <si>
    <t>PROGRAMA 02 RED DE BIBLIOTECAS PÚBLICAS</t>
  </si>
  <si>
    <t>PROGRAMA 03 CONSEJO DE MONUMENTOS NACIONALES</t>
  </si>
  <si>
    <t>MINISTERIO DE LAS CULTURAS, LAS ARTES Y EL PATRIMONIO</t>
  </si>
  <si>
    <t>2403197</t>
  </si>
  <si>
    <t>Programa de Modernización del Sector Público</t>
  </si>
  <si>
    <t>-</t>
  </si>
  <si>
    <t>P01 Subsecretaría de las Culturas y las Artes</t>
  </si>
  <si>
    <t>P02 Fondos Culturales y Artísticos</t>
  </si>
  <si>
    <t>P01 Servicio Nacional del Patrimonio Cultural</t>
  </si>
  <si>
    <t>P02 Red de Bibliotecas Públicas</t>
  </si>
  <si>
    <t>P03 Consejo de Monumentos Nacionales</t>
  </si>
  <si>
    <t xml:space="preserve"> PROGRAMA PRESUPUESTARIO</t>
  </si>
  <si>
    <t>P01 Subsecretaría del Patrimonio Cultural</t>
  </si>
  <si>
    <t>TOTAL MINISTERIO</t>
  </si>
  <si>
    <t>SUBSECRETARÍA DE LAS CULTURAS Y LAS ARTES</t>
  </si>
  <si>
    <t>SUBSECRETARÍA DEL PATRIMONIO</t>
  </si>
  <si>
    <t>SERVICIO NACIONAL DEL PATRIMONIO</t>
  </si>
  <si>
    <t>PROGRAMA 01: SUBSECRETARÍA DEL PATRIMONIO CULTURAL</t>
  </si>
  <si>
    <t>EJECUCIÓN</t>
  </si>
  <si>
    <t>SUBTÍTULO</t>
  </si>
  <si>
    <t>DENOMINACIONES</t>
  </si>
  <si>
    <t>FONDOS CULTURALES Y ARTÍSTICOS</t>
  </si>
  <si>
    <t>%</t>
  </si>
  <si>
    <t>ADQUISICIÓN DE ACTIVOS NO FINANCIEROS</t>
  </si>
  <si>
    <t>INICIATIVAS DE INVERSIÓN</t>
  </si>
  <si>
    <t>SUBSECRETARÍA DEL PATRIMONIO CULTURAL</t>
  </si>
  <si>
    <t>SERVICIO NACIONAL DEL PATRIMONIO CULTURAL</t>
  </si>
  <si>
    <t>RED DE BIBLIOTECAS PÚBLICAS</t>
  </si>
  <si>
    <t>CONSEJO DE MONUMENTOS NACIONALES</t>
  </si>
  <si>
    <t>Dietas a Juntas, Consejos y Comisiones</t>
  </si>
  <si>
    <t>TRANSFERENCIA 087 ACTIVIDADES DE FOMENTO Y DESARROLLO CULTURAL</t>
  </si>
  <si>
    <t xml:space="preserve">SIGFE 1 </t>
  </si>
  <si>
    <t>SIGFE 2</t>
  </si>
  <si>
    <t>PROGRAMA INTERNO</t>
  </si>
  <si>
    <t>PPTO/COMP/DEV</t>
  </si>
  <si>
    <t>PPTO</t>
  </si>
  <si>
    <t>DEVENGO</t>
  </si>
  <si>
    <t>Fomento de las Artes e Industrias Creativas</t>
  </si>
  <si>
    <t>Artesanía</t>
  </si>
  <si>
    <t>Arquitectura</t>
  </si>
  <si>
    <t>Diseño</t>
  </si>
  <si>
    <t>Premios Nacionales</t>
  </si>
  <si>
    <t>Escuelas de Rock</t>
  </si>
  <si>
    <t>Ciudadanía y Cultura</t>
  </si>
  <si>
    <t>Coordinación Ciudadanía</t>
  </si>
  <si>
    <t>Centro de Extensión</t>
  </si>
  <si>
    <t>Migrantes</t>
  </si>
  <si>
    <t>DDHH, Memoria y Cultura</t>
  </si>
  <si>
    <t>Desarrollo Cultural Regional</t>
  </si>
  <si>
    <t xml:space="preserve">Fortalecimiento de Identidad Cultural Regional </t>
  </si>
  <si>
    <t>Coordinación FICR</t>
  </si>
  <si>
    <t>Iniciativas Estratégicas Regionales</t>
  </si>
  <si>
    <t>Festival de las Artes Coquimbo</t>
  </si>
  <si>
    <t>Festival TAPATI</t>
  </si>
  <si>
    <t>Desarrollo Regional</t>
  </si>
  <si>
    <t>Relaciones Internacionales</t>
  </si>
  <si>
    <t>Coordinación Relaciones Internacionales</t>
  </si>
  <si>
    <t>Chile en el Mundo</t>
  </si>
  <si>
    <t>Estudios y Evaluaciones</t>
  </si>
  <si>
    <t>Coordinación Estudios</t>
  </si>
  <si>
    <t>Gabinete Ministra</t>
  </si>
  <si>
    <t>Coordinación Gabinete Ministra</t>
  </si>
  <si>
    <t>Coordinación de Infraestructura</t>
  </si>
  <si>
    <t>Comunicaciones</t>
  </si>
  <si>
    <t>Gabinete Subsecretaría</t>
  </si>
  <si>
    <t>Convención de Cultura</t>
  </si>
  <si>
    <t>Agenda Género, Inclusión y no Discriminación</t>
  </si>
  <si>
    <t>Agenda Participación Ciudadana</t>
  </si>
  <si>
    <t>Desarrollo Institucional</t>
  </si>
  <si>
    <t>Honorarios Permanentes</t>
  </si>
  <si>
    <t>Sistema Nacional de Patrimonio Material e Inmaterial</t>
  </si>
  <si>
    <t>Fomento y Difusión del Arte y las Culturas de Pueblos Originarios</t>
  </si>
  <si>
    <t>Economía Creativa</t>
  </si>
  <si>
    <t xml:space="preserve">PRESUPUESTO </t>
  </si>
  <si>
    <t>24.01.210</t>
  </si>
  <si>
    <t>24.01.212</t>
  </si>
  <si>
    <t>24.01.222</t>
  </si>
  <si>
    <t>24.01.223</t>
  </si>
  <si>
    <t>24.03.192</t>
  </si>
  <si>
    <t>24.03.193</t>
  </si>
  <si>
    <t>24.03.194</t>
  </si>
  <si>
    <t>24.03.195</t>
  </si>
  <si>
    <t>24.03.196</t>
  </si>
  <si>
    <t>24.03.197</t>
  </si>
  <si>
    <t>Coordinación Fomento</t>
  </si>
  <si>
    <t>24.03.146</t>
  </si>
  <si>
    <t>24.07</t>
  </si>
  <si>
    <t>A Organismos Internacionales</t>
  </si>
  <si>
    <t>Fomento y Desarrollo de Artes de la Visualidad</t>
  </si>
  <si>
    <t>24.07.001</t>
  </si>
  <si>
    <t>Organismos Internacionales</t>
  </si>
  <si>
    <t>24.03.522</t>
  </si>
  <si>
    <t>24</t>
  </si>
  <si>
    <t>Fomento y Desarrollo de las Artes Escénicas</t>
  </si>
  <si>
    <t>Coordinación Derechos de Autor</t>
  </si>
  <si>
    <t>Dietas a Consejeros</t>
  </si>
  <si>
    <t>30.10</t>
  </si>
  <si>
    <t>24.02.001</t>
  </si>
  <si>
    <t>Secretaría General de Gobierno Consejo Nacional de Televisión</t>
  </si>
  <si>
    <t>ADQUISICION DE ACTIVOS FINANCIEROS</t>
  </si>
  <si>
    <t>Fondo de Emergencia Transitorio</t>
  </si>
  <si>
    <t>Cultura Digital</t>
  </si>
  <si>
    <t>24.01.225</t>
  </si>
  <si>
    <t>Fondo Concursable del Patrimonio</t>
  </si>
  <si>
    <t>24.02.004</t>
  </si>
  <si>
    <t>Corporación Nacional de Desarrollo Indígena</t>
  </si>
  <si>
    <t>33.02</t>
  </si>
  <si>
    <t>33.01.001</t>
  </si>
  <si>
    <t>33.02.029</t>
  </si>
  <si>
    <t>Subsecretaría de Desarrollo Regional y Administrativo</t>
  </si>
  <si>
    <t>Fondo del Patrimonio Ley N°21.045</t>
  </si>
  <si>
    <t>FONDO DE EMERGENCIA TRANSITORIO</t>
  </si>
  <si>
    <t>Apoyo Institucional</t>
  </si>
  <si>
    <t>SUBTÍTULO 22 PROGRAMA 01 SUBSECRETARÍA DE LAS CULTURAS Y LAS ARTES</t>
  </si>
  <si>
    <t>Unidad Demandante</t>
  </si>
  <si>
    <t>Presupuesto Vigente</t>
  </si>
  <si>
    <t>Comprometido</t>
  </si>
  <si>
    <t>Disponibilidad Presupuestaria</t>
  </si>
  <si>
    <t>Ejecutado</t>
  </si>
  <si>
    <t>Disponibilidad por Devengar</t>
  </si>
  <si>
    <t>Comprometido (%)</t>
  </si>
  <si>
    <t>Ejecutado
(%)</t>
  </si>
  <si>
    <t>Institucional</t>
  </si>
  <si>
    <t>Gabinete</t>
  </si>
  <si>
    <t>Subsecretaría</t>
  </si>
  <si>
    <t>Convención Cultura</t>
  </si>
  <si>
    <t>Planificación y Presupuesto</t>
  </si>
  <si>
    <t>Administración Valparaíso</t>
  </si>
  <si>
    <t>Administración Santiago</t>
  </si>
  <si>
    <t>Sección Coordinación Regional</t>
  </si>
  <si>
    <t>Ciudadanía Cultural</t>
  </si>
  <si>
    <t>Gestión de Personas</t>
  </si>
  <si>
    <t>Capacitación</t>
  </si>
  <si>
    <t>Sección de Tecnologías</t>
  </si>
  <si>
    <t>Jurídico</t>
  </si>
  <si>
    <t>Sección de Infraestructura</t>
  </si>
  <si>
    <t>Consejo Nacional</t>
  </si>
  <si>
    <t>Estudios</t>
  </si>
  <si>
    <t>Fiscalía</t>
  </si>
  <si>
    <t>Secretaría Administrativa y Documental</t>
  </si>
  <si>
    <t>Unidad de Auditoría</t>
  </si>
  <si>
    <t>Educación</t>
  </si>
  <si>
    <t>CNAC</t>
  </si>
  <si>
    <t>Seremi Tarapacá</t>
  </si>
  <si>
    <t>Seremi Antofagasta</t>
  </si>
  <si>
    <t>Seremi Atacama</t>
  </si>
  <si>
    <t>Seremi Coquimbo</t>
  </si>
  <si>
    <t>Seremi Valparaíso</t>
  </si>
  <si>
    <t>Seremi O'Higgins</t>
  </si>
  <si>
    <t>Seremi Maule</t>
  </si>
  <si>
    <t>Seremi Biobío</t>
  </si>
  <si>
    <t>Seremi Araucanía</t>
  </si>
  <si>
    <t>Seremi Los Lagos</t>
  </si>
  <si>
    <t>Seremi Aysén</t>
  </si>
  <si>
    <t>Seremi Magallanes</t>
  </si>
  <si>
    <t>Seremi Metropolitana</t>
  </si>
  <si>
    <t>Seremi Los  Ríos</t>
  </si>
  <si>
    <t>Seremi Arica y Parinacota</t>
  </si>
  <si>
    <t>Seremi Ñuble</t>
  </si>
  <si>
    <t>COVID19</t>
  </si>
  <si>
    <t>Nivel Central</t>
  </si>
  <si>
    <t xml:space="preserve">TOTAL </t>
  </si>
  <si>
    <t>25</t>
  </si>
  <si>
    <t>24.01.181</t>
  </si>
  <si>
    <t>Fundación Tiempos Nuevos</t>
  </si>
  <si>
    <t>PROGRAMA 04 MUSEOS NACIONALES</t>
  </si>
  <si>
    <t>P04 Museos Nacionales</t>
  </si>
  <si>
    <t>PROGRAMA 04</t>
  </si>
  <si>
    <t>MUSEOS NACIONALES</t>
  </si>
  <si>
    <t>PROGRAMA 01</t>
  </si>
  <si>
    <t>PROGRAMA 02</t>
  </si>
  <si>
    <t>PROGRAMA 03</t>
  </si>
  <si>
    <t>Gestión Programática (Planificación)</t>
  </si>
  <si>
    <t>Apoyo Administrativo (Administración)</t>
  </si>
  <si>
    <t>Gestión de Recursos Humanos</t>
  </si>
  <si>
    <t>Apoyo Jurídico</t>
  </si>
  <si>
    <t>Viáticos Consejeros</t>
  </si>
  <si>
    <t>05</t>
  </si>
  <si>
    <t>05.02</t>
  </si>
  <si>
    <t>Del Gobierno Central</t>
  </si>
  <si>
    <t>05.02.003</t>
  </si>
  <si>
    <t>Secretaría y Administración General de Hacienda</t>
  </si>
  <si>
    <t>07</t>
  </si>
  <si>
    <t>INGRESOS DE OPERACIÓN</t>
  </si>
  <si>
    <t>08</t>
  </si>
  <si>
    <t>OTROS INGRESOS CORRIENTES</t>
  </si>
  <si>
    <t>08.01</t>
  </si>
  <si>
    <t>Recuperaciones y Reembolsos por Licencias Médicas</t>
  </si>
  <si>
    <t>08.02</t>
  </si>
  <si>
    <t>Multas y Sanciones Pecuniarias</t>
  </si>
  <si>
    <t>08.99</t>
  </si>
  <si>
    <t>Otros</t>
  </si>
  <si>
    <t>09</t>
  </si>
  <si>
    <t>APORTE FISCAL</t>
  </si>
  <si>
    <t>09.01</t>
  </si>
  <si>
    <t xml:space="preserve">Libre </t>
  </si>
  <si>
    <t>09.01.001</t>
  </si>
  <si>
    <t>Remuneraciones</t>
  </si>
  <si>
    <t>09.01.002</t>
  </si>
  <si>
    <t>Resto</t>
  </si>
  <si>
    <t>12</t>
  </si>
  <si>
    <t>RECUPERACIÓN DE PRÉSTAMOS</t>
  </si>
  <si>
    <t>12.10</t>
  </si>
  <si>
    <t>Ingresos por Percibir</t>
  </si>
  <si>
    <t>15</t>
  </si>
  <si>
    <t>SALDO INICIAL DE CAJA</t>
  </si>
  <si>
    <t>10</t>
  </si>
  <si>
    <t>10.03</t>
  </si>
  <si>
    <t>VENTA DE ACTIVOS NO FINANCIEROS</t>
  </si>
  <si>
    <t>INGRESOS</t>
  </si>
  <si>
    <t>GASTOS</t>
  </si>
  <si>
    <t>05.02.201</t>
  </si>
  <si>
    <t>Recuperación de Licencias Médicas - FONASA</t>
  </si>
  <si>
    <t>06</t>
  </si>
  <si>
    <t>RENTAS DE LA PROPIEDAD</t>
  </si>
  <si>
    <t>06.01</t>
  </si>
  <si>
    <t>Arriendo de Activos No Financieros</t>
  </si>
  <si>
    <t>Reporte Ejecución al 31/12/2022</t>
  </si>
  <si>
    <t>Red Cultura y Puntos de Cultura Comunitaria</t>
  </si>
  <si>
    <t>Centros de Creación y Desarrollo Artístico para Niños/as y Jóvenes</t>
  </si>
  <si>
    <t>Fomento y Desarrollo de Ecosistemas Creativos</t>
  </si>
  <si>
    <t>24.03.150</t>
  </si>
  <si>
    <t>Promoción y Fortalecimiento del Trabajo Cultural</t>
  </si>
  <si>
    <t>% 
EJECUCIÓN</t>
  </si>
  <si>
    <t>Conmemoración 50 años</t>
  </si>
  <si>
    <t>Públicos y Territorios</t>
  </si>
  <si>
    <t>Fundación de Orquestas Juveniles e Infantiles</t>
  </si>
  <si>
    <t>24.01.001</t>
  </si>
  <si>
    <t>24.03.003</t>
  </si>
  <si>
    <t>Cuota Corporación Municipal Valparaíso Sitio Patrimonio Mundial</t>
  </si>
  <si>
    <t>Diálogo Ciudadano</t>
  </si>
  <si>
    <t>24.03.198</t>
  </si>
  <si>
    <t>Consultas Públicas en la Gestión Patrimonial</t>
  </si>
  <si>
    <t>Provisión</t>
  </si>
  <si>
    <t>Reporte Ejecución al 28/02/2023 (En Miles de $)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</si>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</sst>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_-;\-* #,##0_-;_-* &quot;-&quot;_-;_-@_-"/>
    <numFmt numFmtId="165" formatCode="0.0%"/>
    <numFmt numFmtId="166" formatCode="&quot;$&quot;\ 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3DDED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255">
    <xf numFmtId="0" fontId="0" fillId="0" borderId="0" xfId="0"/>
    <xf numFmtId="0" fontId="3" fillId="0" borderId="0" xfId="0" applyFont="1"/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165" fontId="4" fillId="0" borderId="5" xfId="1" applyNumberFormat="1" applyFont="1" applyBorder="1" applyAlignment="1">
      <alignment horizontal="center"/>
    </xf>
    <xf numFmtId="166" fontId="5" fillId="0" borderId="2" xfId="2" applyNumberFormat="1" applyFont="1" applyBorder="1"/>
    <xf numFmtId="3" fontId="5" fillId="0" borderId="5" xfId="0" applyNumberFormat="1" applyFont="1" applyBorder="1"/>
    <xf numFmtId="165" fontId="5" fillId="0" borderId="5" xfId="1" applyNumberFormat="1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49" fontId="4" fillId="0" borderId="2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3" fontId="4" fillId="0" borderId="5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3" fontId="5" fillId="0" borderId="5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horizontal="right" vertical="center"/>
    </xf>
    <xf numFmtId="165" fontId="4" fillId="2" borderId="5" xfId="1" applyNumberFormat="1" applyFont="1" applyFill="1" applyBorder="1" applyAlignment="1">
      <alignment horizontal="center"/>
    </xf>
    <xf numFmtId="49" fontId="0" fillId="0" borderId="0" xfId="0" applyNumberFormat="1"/>
    <xf numFmtId="3" fontId="0" fillId="0" borderId="0" xfId="0" applyNumberFormat="1"/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3" fontId="6" fillId="0" borderId="5" xfId="0" applyNumberFormat="1" applyFont="1" applyBorder="1" applyAlignment="1">
      <alignment horizontal="right" vertical="center"/>
    </xf>
    <xf numFmtId="165" fontId="6" fillId="0" borderId="5" xfId="1" applyNumberFormat="1" applyFont="1" applyBorder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165" fontId="5" fillId="0" borderId="5" xfId="1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/>
    <xf numFmtId="3" fontId="4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165" fontId="2" fillId="2" borderId="5" xfId="1" applyNumberFormat="1" applyFont="1" applyFill="1" applyBorder="1" applyAlignment="1">
      <alignment horizontal="center"/>
    </xf>
    <xf numFmtId="49" fontId="4" fillId="0" borderId="5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0" xfId="0" applyFont="1"/>
    <xf numFmtId="3" fontId="7" fillId="0" borderId="0" xfId="0" applyNumberFormat="1" applyFont="1"/>
    <xf numFmtId="3" fontId="2" fillId="0" borderId="7" xfId="0" applyNumberFormat="1" applyFont="1" applyBorder="1" applyAlignment="1">
      <alignment horizontal="right" vertical="center" wrapText="1"/>
    </xf>
    <xf numFmtId="165" fontId="2" fillId="0" borderId="11" xfId="1" applyNumberFormat="1" applyFont="1" applyFill="1" applyBorder="1" applyAlignment="1">
      <alignment horizontal="center" vertical="center" wrapText="1"/>
    </xf>
    <xf numFmtId="0" fontId="8" fillId="0" borderId="13" xfId="0" applyFont="1" applyBorder="1"/>
    <xf numFmtId="3" fontId="0" fillId="0" borderId="5" xfId="0" applyNumberFormat="1" applyBorder="1" applyAlignment="1">
      <alignment horizontal="right" vertical="center"/>
    </xf>
    <xf numFmtId="165" fontId="0" fillId="0" borderId="5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vertical="center"/>
    </xf>
    <xf numFmtId="3" fontId="0" fillId="0" borderId="5" xfId="0" applyNumberForma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3"/>
    </xf>
    <xf numFmtId="0" fontId="1" fillId="0" borderId="0" xfId="3"/>
    <xf numFmtId="49" fontId="4" fillId="2" borderId="1" xfId="3" applyNumberFormat="1" applyFont="1" applyFill="1" applyBorder="1" applyAlignment="1">
      <alignment horizontal="left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left" vertical="center"/>
    </xf>
    <xf numFmtId="0" fontId="4" fillId="0" borderId="1" xfId="3" applyFont="1" applyBorder="1" applyAlignment="1">
      <alignment vertical="center"/>
    </xf>
    <xf numFmtId="3" fontId="4" fillId="0" borderId="4" xfId="3" applyNumberFormat="1" applyFont="1" applyBorder="1" applyAlignment="1">
      <alignment horizontal="right" vertical="center"/>
    </xf>
    <xf numFmtId="165" fontId="4" fillId="0" borderId="5" xfId="4" applyNumberFormat="1" applyFont="1" applyBorder="1" applyAlignment="1">
      <alignment horizontal="center"/>
    </xf>
    <xf numFmtId="3" fontId="1" fillId="0" borderId="0" xfId="3" applyNumberFormat="1"/>
    <xf numFmtId="3" fontId="5" fillId="0" borderId="5" xfId="3" applyNumberFormat="1" applyFont="1" applyBorder="1"/>
    <xf numFmtId="165" fontId="5" fillId="0" borderId="5" xfId="4" applyNumberFormat="1" applyFont="1" applyBorder="1" applyAlignment="1">
      <alignment horizontal="center"/>
    </xf>
    <xf numFmtId="3" fontId="11" fillId="0" borderId="5" xfId="3" applyNumberFormat="1" applyFont="1" applyBorder="1"/>
    <xf numFmtId="0" fontId="4" fillId="0" borderId="2" xfId="3" applyFont="1" applyBorder="1" applyAlignment="1">
      <alignment vertical="center"/>
    </xf>
    <xf numFmtId="49" fontId="6" fillId="0" borderId="1" xfId="3" applyNumberFormat="1" applyFont="1" applyBorder="1" applyAlignment="1">
      <alignment horizontal="left" vertical="center"/>
    </xf>
    <xf numFmtId="0" fontId="6" fillId="0" borderId="2" xfId="3" applyFont="1" applyBorder="1" applyAlignment="1">
      <alignment vertical="center"/>
    </xf>
    <xf numFmtId="3" fontId="6" fillId="0" borderId="5" xfId="3" applyNumberFormat="1" applyFont="1" applyBorder="1" applyAlignment="1">
      <alignment horizontal="right" vertical="center"/>
    </xf>
    <xf numFmtId="165" fontId="6" fillId="0" borderId="5" xfId="4" applyNumberFormat="1" applyFont="1" applyBorder="1" applyAlignment="1">
      <alignment horizontal="center"/>
    </xf>
    <xf numFmtId="0" fontId="7" fillId="0" borderId="0" xfId="3" applyFont="1"/>
    <xf numFmtId="49" fontId="5" fillId="0" borderId="1" xfId="3" applyNumberFormat="1" applyFont="1" applyBorder="1" applyAlignment="1">
      <alignment horizontal="left" vertical="center"/>
    </xf>
    <xf numFmtId="0" fontId="5" fillId="0" borderId="2" xfId="3" applyFont="1" applyBorder="1" applyAlignment="1">
      <alignment vertical="center"/>
    </xf>
    <xf numFmtId="3" fontId="5" fillId="0" borderId="5" xfId="3" applyNumberFormat="1" applyFont="1" applyBorder="1" applyAlignment="1">
      <alignment horizontal="right" vertical="center"/>
    </xf>
    <xf numFmtId="3" fontId="4" fillId="0" borderId="5" xfId="3" applyNumberFormat="1" applyFont="1" applyBorder="1" applyAlignment="1">
      <alignment horizontal="right" vertical="center"/>
    </xf>
    <xf numFmtId="3" fontId="2" fillId="0" borderId="0" xfId="3" applyNumberFormat="1" applyFont="1"/>
    <xf numFmtId="0" fontId="2" fillId="0" borderId="0" xfId="3" applyFont="1"/>
    <xf numFmtId="0" fontId="5" fillId="0" borderId="1" xfId="3" applyFont="1" applyBorder="1" applyAlignment="1">
      <alignment vertical="center"/>
    </xf>
    <xf numFmtId="3" fontId="0" fillId="0" borderId="0" xfId="3" applyNumberFormat="1" applyFont="1"/>
    <xf numFmtId="0" fontId="0" fillId="0" borderId="0" xfId="3" applyFont="1"/>
    <xf numFmtId="49" fontId="4" fillId="0" borderId="5" xfId="3" applyNumberFormat="1" applyFont="1" applyBorder="1" applyAlignment="1">
      <alignment horizontal="left" vertical="center"/>
    </xf>
    <xf numFmtId="0" fontId="4" fillId="0" borderId="5" xfId="3" applyFont="1" applyBorder="1" applyAlignment="1">
      <alignment vertical="center"/>
    </xf>
    <xf numFmtId="49" fontId="5" fillId="0" borderId="10" xfId="3" applyNumberFormat="1" applyFont="1" applyBorder="1" applyAlignment="1">
      <alignment horizontal="left" vertical="center"/>
    </xf>
    <xf numFmtId="0" fontId="5" fillId="0" borderId="6" xfId="3" applyFont="1" applyBorder="1" applyAlignment="1">
      <alignment vertical="center"/>
    </xf>
    <xf numFmtId="49" fontId="4" fillId="0" borderId="4" xfId="3" applyNumberFormat="1" applyFont="1" applyBorder="1" applyAlignment="1">
      <alignment horizontal="left" vertical="center"/>
    </xf>
    <xf numFmtId="0" fontId="4" fillId="0" borderId="9" xfId="3" applyFont="1" applyBorder="1" applyAlignment="1">
      <alignment vertical="center"/>
    </xf>
    <xf numFmtId="3" fontId="4" fillId="0" borderId="3" xfId="3" applyNumberFormat="1" applyFont="1" applyBorder="1" applyAlignment="1">
      <alignment horizontal="right" vertical="center"/>
    </xf>
    <xf numFmtId="165" fontId="4" fillId="0" borderId="3" xfId="4" applyNumberFormat="1" applyFont="1" applyBorder="1" applyAlignment="1">
      <alignment horizontal="center"/>
    </xf>
    <xf numFmtId="49" fontId="3" fillId="0" borderId="5" xfId="3" applyNumberFormat="1" applyFont="1" applyBorder="1"/>
    <xf numFmtId="3" fontId="3" fillId="0" borderId="0" xfId="3" applyNumberFormat="1" applyFont="1"/>
    <xf numFmtId="0" fontId="3" fillId="0" borderId="0" xfId="3" applyFont="1"/>
    <xf numFmtId="49" fontId="5" fillId="0" borderId="5" xfId="3" applyNumberFormat="1" applyFont="1" applyBorder="1" applyAlignment="1">
      <alignment horizontal="left" vertical="center"/>
    </xf>
    <xf numFmtId="0" fontId="5" fillId="0" borderId="5" xfId="3" applyFont="1" applyBorder="1" applyAlignment="1">
      <alignment vertical="center"/>
    </xf>
    <xf numFmtId="49" fontId="10" fillId="0" borderId="0" xfId="3" applyNumberFormat="1" applyFont="1"/>
    <xf numFmtId="0" fontId="9" fillId="0" borderId="11" xfId="3" applyFont="1" applyBorder="1" applyAlignment="1">
      <alignment vertical="center"/>
    </xf>
    <xf numFmtId="3" fontId="9" fillId="0" borderId="7" xfId="3" applyNumberFormat="1" applyFont="1" applyBorder="1" applyAlignment="1">
      <alignment horizontal="right" vertical="center"/>
    </xf>
    <xf numFmtId="49" fontId="4" fillId="2" borderId="1" xfId="3" applyNumberFormat="1" applyFont="1" applyFill="1" applyBorder="1" applyAlignment="1">
      <alignment horizontal="left" vertical="center"/>
    </xf>
    <xf numFmtId="0" fontId="4" fillId="2" borderId="2" xfId="3" applyFont="1" applyFill="1" applyBorder="1" applyAlignment="1">
      <alignment vertical="center"/>
    </xf>
    <xf numFmtId="3" fontId="4" fillId="2" borderId="5" xfId="3" applyNumberFormat="1" applyFont="1" applyFill="1" applyBorder="1" applyAlignment="1">
      <alignment horizontal="right" vertical="center"/>
    </xf>
    <xf numFmtId="165" fontId="4" fillId="2" borderId="5" xfId="4" applyNumberFormat="1" applyFont="1" applyFill="1" applyBorder="1" applyAlignment="1">
      <alignment horizontal="center"/>
    </xf>
    <xf numFmtId="49" fontId="1" fillId="0" borderId="0" xfId="3" applyNumberFormat="1"/>
    <xf numFmtId="49" fontId="8" fillId="0" borderId="0" xfId="3" applyNumberFormat="1" applyFont="1"/>
    <xf numFmtId="0" fontId="5" fillId="0" borderId="0" xfId="3" applyFont="1"/>
    <xf numFmtId="49" fontId="5" fillId="0" borderId="0" xfId="3" applyNumberFormat="1" applyFont="1"/>
    <xf numFmtId="0" fontId="4" fillId="2" borderId="8" xfId="3" applyFont="1" applyFill="1" applyBorder="1" applyAlignment="1">
      <alignment horizontal="center" vertical="center" wrapText="1"/>
    </xf>
    <xf numFmtId="49" fontId="4" fillId="0" borderId="2" xfId="3" applyNumberFormat="1" applyFont="1" applyBorder="1" applyAlignment="1">
      <alignment horizontal="left" vertical="center"/>
    </xf>
    <xf numFmtId="3" fontId="5" fillId="0" borderId="7" xfId="3" applyNumberFormat="1" applyFont="1" applyBorder="1" applyAlignment="1">
      <alignment horizontal="right" vertical="center"/>
    </xf>
    <xf numFmtId="3" fontId="5" fillId="0" borderId="3" xfId="3" applyNumberFormat="1" applyFont="1" applyBorder="1" applyAlignment="1">
      <alignment horizontal="right" vertical="center"/>
    </xf>
    <xf numFmtId="3" fontId="5" fillId="0" borderId="0" xfId="3" applyNumberFormat="1" applyFont="1"/>
    <xf numFmtId="0" fontId="8" fillId="0" borderId="0" xfId="3" applyFont="1"/>
    <xf numFmtId="0" fontId="13" fillId="3" borderId="4" xfId="0" applyFont="1" applyFill="1" applyBorder="1" applyAlignment="1">
      <alignment horizontal="center" vertical="center" wrapText="1" readingOrder="1"/>
    </xf>
    <xf numFmtId="0" fontId="13" fillId="3" borderId="10" xfId="0" applyFont="1" applyFill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3" fontId="14" fillId="0" borderId="1" xfId="0" applyNumberFormat="1" applyFont="1" applyBorder="1" applyAlignment="1">
      <alignment horizontal="right" vertical="center" wrapText="1" readingOrder="1"/>
    </xf>
    <xf numFmtId="3" fontId="13" fillId="3" borderId="1" xfId="0" applyNumberFormat="1" applyFont="1" applyFill="1" applyBorder="1" applyAlignment="1">
      <alignment horizontal="right" vertical="center" wrapText="1" readingOrder="1"/>
    </xf>
    <xf numFmtId="165" fontId="14" fillId="0" borderId="1" xfId="1" applyNumberFormat="1" applyFont="1" applyBorder="1" applyAlignment="1">
      <alignment horizontal="center" vertical="center" wrapText="1" readingOrder="1"/>
    </xf>
    <xf numFmtId="41" fontId="14" fillId="0" borderId="1" xfId="0" applyNumberFormat="1" applyFont="1" applyBorder="1" applyAlignment="1">
      <alignment horizontal="center" vertical="center" wrapText="1" readingOrder="1"/>
    </xf>
    <xf numFmtId="165" fontId="14" fillId="0" borderId="1" xfId="0" applyNumberFormat="1" applyFont="1" applyBorder="1" applyAlignment="1">
      <alignment horizontal="center" vertical="center" wrapText="1" readingOrder="1"/>
    </xf>
    <xf numFmtId="165" fontId="13" fillId="3" borderId="1" xfId="0" applyNumberFormat="1" applyFont="1" applyFill="1" applyBorder="1" applyAlignment="1">
      <alignment horizontal="center" vertical="center" wrapText="1" readingOrder="1"/>
    </xf>
    <xf numFmtId="3" fontId="4" fillId="0" borderId="7" xfId="0" applyNumberFormat="1" applyFont="1" applyBorder="1" applyAlignment="1">
      <alignment horizontal="right" vertical="center"/>
    </xf>
    <xf numFmtId="164" fontId="0" fillId="0" borderId="0" xfId="5" applyFont="1"/>
    <xf numFmtId="164" fontId="1" fillId="0" borderId="0" xfId="5"/>
    <xf numFmtId="3" fontId="15" fillId="0" borderId="5" xfId="3" applyNumberFormat="1" applyFont="1" applyBorder="1"/>
    <xf numFmtId="3" fontId="9" fillId="0" borderId="4" xfId="3" applyNumberFormat="1" applyFont="1" applyBorder="1" applyAlignment="1">
      <alignment horizontal="right" vertical="center"/>
    </xf>
    <xf numFmtId="3" fontId="16" fillId="0" borderId="5" xfId="3" applyNumberFormat="1" applyFont="1" applyBorder="1" applyAlignment="1">
      <alignment horizontal="right" vertical="center"/>
    </xf>
    <xf numFmtId="3" fontId="15" fillId="0" borderId="5" xfId="3" applyNumberFormat="1" applyFont="1" applyBorder="1" applyAlignment="1">
      <alignment horizontal="right" vertical="center"/>
    </xf>
    <xf numFmtId="3" fontId="9" fillId="0" borderId="5" xfId="3" applyNumberFormat="1" applyFont="1" applyBorder="1" applyAlignment="1">
      <alignment horizontal="right" vertical="center"/>
    </xf>
    <xf numFmtId="164" fontId="1" fillId="0" borderId="0" xfId="3" applyNumberFormat="1"/>
    <xf numFmtId="0" fontId="4" fillId="2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3" fontId="5" fillId="0" borderId="4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12" fillId="5" borderId="5" xfId="0" applyFont="1" applyFill="1" applyBorder="1" applyAlignment="1">
      <alignment horizontal="center" vertical="center" wrapText="1" readingOrder="1"/>
    </xf>
    <xf numFmtId="165" fontId="5" fillId="0" borderId="5" xfId="1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left" vertical="center"/>
    </xf>
    <xf numFmtId="3" fontId="6" fillId="0" borderId="7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left" vertical="center"/>
    </xf>
    <xf numFmtId="3" fontId="4" fillId="0" borderId="11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3" fontId="2" fillId="0" borderId="7" xfId="0" applyNumberFormat="1" applyFont="1" applyBorder="1" applyAlignment="1">
      <alignment horizontal="right" vertical="center"/>
    </xf>
    <xf numFmtId="3" fontId="12" fillId="5" borderId="10" xfId="0" applyNumberFormat="1" applyFont="1" applyFill="1" applyBorder="1" applyAlignment="1">
      <alignment horizontal="right" vertical="center" wrapText="1" readingOrder="1"/>
    </xf>
    <xf numFmtId="166" fontId="5" fillId="0" borderId="9" xfId="2" applyNumberFormat="1" applyFont="1" applyBorder="1"/>
    <xf numFmtId="3" fontId="5" fillId="0" borderId="3" xfId="0" applyNumberFormat="1" applyFont="1" applyBorder="1"/>
    <xf numFmtId="165" fontId="5" fillId="0" borderId="3" xfId="1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3" fontId="4" fillId="0" borderId="16" xfId="0" applyNumberFormat="1" applyFont="1" applyBorder="1" applyAlignment="1">
      <alignment horizontal="right" vertical="center"/>
    </xf>
    <xf numFmtId="165" fontId="4" fillId="0" borderId="7" xfId="1" applyNumberFormat="1" applyFont="1" applyBorder="1" applyAlignment="1">
      <alignment horizontal="center"/>
    </xf>
    <xf numFmtId="166" fontId="5" fillId="0" borderId="5" xfId="2" applyNumberFormat="1" applyFont="1" applyBorder="1"/>
    <xf numFmtId="0" fontId="1" fillId="0" borderId="0" xfId="3" applyAlignment="1">
      <alignment horizontal="center"/>
    </xf>
    <xf numFmtId="165" fontId="4" fillId="0" borderId="4" xfId="4" applyNumberFormat="1" applyFont="1" applyBorder="1" applyAlignment="1">
      <alignment horizontal="center" vertical="center"/>
    </xf>
    <xf numFmtId="165" fontId="4" fillId="0" borderId="5" xfId="4" applyNumberFormat="1" applyFont="1" applyBorder="1" applyAlignment="1">
      <alignment horizontal="center" vertical="center"/>
    </xf>
    <xf numFmtId="165" fontId="5" fillId="0" borderId="7" xfId="4" applyNumberFormat="1" applyFont="1" applyBorder="1" applyAlignment="1">
      <alignment horizontal="center" vertical="center"/>
    </xf>
    <xf numFmtId="165" fontId="5" fillId="0" borderId="5" xfId="4" applyNumberFormat="1" applyFont="1" applyBorder="1" applyAlignment="1">
      <alignment horizontal="center" vertical="center"/>
    </xf>
    <xf numFmtId="165" fontId="5" fillId="0" borderId="3" xfId="4" applyNumberFormat="1" applyFont="1" applyBorder="1" applyAlignment="1">
      <alignment horizontal="center" vertical="center"/>
    </xf>
    <xf numFmtId="165" fontId="4" fillId="2" borderId="5" xfId="4" applyNumberFormat="1" applyFont="1" applyFill="1" applyBorder="1" applyAlignment="1">
      <alignment horizontal="center" vertical="center"/>
    </xf>
    <xf numFmtId="165" fontId="12" fillId="5" borderId="10" xfId="0" applyNumberFormat="1" applyFont="1" applyFill="1" applyBorder="1" applyAlignment="1">
      <alignment horizontal="center" vertical="center" wrapText="1" readingOrder="1"/>
    </xf>
    <xf numFmtId="0" fontId="4" fillId="0" borderId="1" xfId="3" applyFont="1" applyBorder="1" applyAlignment="1">
      <alignment horizontal="left" vertical="center"/>
    </xf>
    <xf numFmtId="0" fontId="9" fillId="6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49" fontId="5" fillId="0" borderId="5" xfId="0" applyNumberFormat="1" applyFont="1" applyBorder="1" applyAlignment="1">
      <alignment horizontal="left"/>
    </xf>
    <xf numFmtId="49" fontId="8" fillId="0" borderId="5" xfId="0" applyNumberFormat="1" applyFont="1" applyBorder="1" applyAlignment="1">
      <alignment horizontal="left" indent="3"/>
    </xf>
    <xf numFmtId="3" fontId="8" fillId="0" borderId="5" xfId="0" applyNumberFormat="1" applyFont="1" applyBorder="1"/>
    <xf numFmtId="0" fontId="4" fillId="6" borderId="5" xfId="0" applyFont="1" applyFill="1" applyBorder="1" applyAlignment="1">
      <alignment horizontal="left"/>
    </xf>
    <xf numFmtId="3" fontId="4" fillId="6" borderId="5" xfId="0" applyNumberFormat="1" applyFont="1" applyFill="1" applyBorder="1"/>
    <xf numFmtId="165" fontId="4" fillId="2" borderId="5" xfId="1" applyNumberFormat="1" applyFont="1" applyFill="1" applyBorder="1" applyAlignment="1">
      <alignment horizontal="center" vertical="center"/>
    </xf>
    <xf numFmtId="3" fontId="5" fillId="0" borderId="4" xfId="3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vertical="center"/>
    </xf>
    <xf numFmtId="41" fontId="14" fillId="0" borderId="1" xfId="0" applyNumberFormat="1" applyFont="1" applyBorder="1" applyAlignment="1">
      <alignment horizontal="right" vertical="center" wrapText="1" readingOrder="1"/>
    </xf>
    <xf numFmtId="49" fontId="5" fillId="0" borderId="4" xfId="3" applyNumberFormat="1" applyFont="1" applyBorder="1" applyAlignment="1">
      <alignment horizontal="left" vertical="center"/>
    </xf>
    <xf numFmtId="0" fontId="5" fillId="0" borderId="9" xfId="3" applyFont="1" applyBorder="1" applyAlignment="1">
      <alignment vertical="center"/>
    </xf>
    <xf numFmtId="0" fontId="13" fillId="0" borderId="0" xfId="0" applyFont="1" applyAlignment="1">
      <alignment horizontal="center" vertical="center" wrapText="1" readingOrder="1"/>
    </xf>
    <xf numFmtId="165" fontId="14" fillId="0" borderId="0" xfId="0" applyNumberFormat="1" applyFont="1" applyAlignment="1">
      <alignment horizontal="center" vertical="center" wrapText="1" readingOrder="1"/>
    </xf>
    <xf numFmtId="165" fontId="13" fillId="0" borderId="0" xfId="0" applyNumberFormat="1" applyFont="1" applyAlignment="1">
      <alignment horizontal="center" vertical="center" wrapText="1" readingOrder="1"/>
    </xf>
    <xf numFmtId="0" fontId="12" fillId="5" borderId="10" xfId="0" applyFont="1" applyFill="1" applyBorder="1" applyAlignment="1">
      <alignment horizontal="center" vertical="center" wrapText="1" readingOrder="1"/>
    </xf>
    <xf numFmtId="49" fontId="18" fillId="0" borderId="2" xfId="0" applyNumberFormat="1" applyFont="1" applyBorder="1" applyAlignment="1">
      <alignment horizontal="center" vertical="center"/>
    </xf>
    <xf numFmtId="165" fontId="13" fillId="3" borderId="1" xfId="1" applyNumberFormat="1" applyFont="1" applyFill="1" applyBorder="1" applyAlignment="1">
      <alignment horizontal="center" vertical="center" wrapText="1" readingOrder="1"/>
    </xf>
    <xf numFmtId="165" fontId="5" fillId="0" borderId="5" xfId="1" applyNumberFormat="1" applyFont="1" applyBorder="1" applyAlignment="1">
      <alignment horizontal="center" vertical="center" wrapText="1"/>
    </xf>
    <xf numFmtId="165" fontId="2" fillId="2" borderId="5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 readingOrder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0" xfId="0" applyNumberFormat="1" applyFont="1"/>
    <xf numFmtId="49" fontId="5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3" fontId="4" fillId="0" borderId="5" xfId="0" applyNumberFormat="1" applyFont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/>
    <xf numFmtId="0" fontId="4" fillId="2" borderId="5" xfId="0" applyFont="1" applyFill="1" applyBorder="1" applyAlignment="1">
      <alignment horizontal="left" vertical="center" wrapText="1"/>
    </xf>
    <xf numFmtId="3" fontId="4" fillId="2" borderId="5" xfId="0" applyNumberFormat="1" applyFont="1" applyFill="1" applyBorder="1"/>
    <xf numFmtId="49" fontId="2" fillId="0" borderId="0" xfId="0" applyNumberFormat="1" applyFont="1"/>
    <xf numFmtId="165" fontId="4" fillId="0" borderId="0" xfId="1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5" xfId="0" applyNumberFormat="1" applyFont="1" applyBorder="1"/>
    <xf numFmtId="0" fontId="2" fillId="0" borderId="0" xfId="0" applyFont="1"/>
    <xf numFmtId="3" fontId="2" fillId="0" borderId="0" xfId="0" applyNumberFormat="1" applyFont="1" applyAlignment="1">
      <alignment horizontal="left" vertical="center"/>
    </xf>
    <xf numFmtId="49" fontId="2" fillId="0" borderId="0" xfId="3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0" fillId="0" borderId="12" xfId="0" applyNumberFormat="1" applyBorder="1" applyAlignment="1">
      <alignment horizontal="left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4" borderId="20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3" borderId="9" xfId="0" applyFont="1" applyFill="1" applyBorder="1" applyAlignment="1">
      <alignment horizontal="center" vertical="center" wrapText="1" readingOrder="1"/>
    </xf>
    <xf numFmtId="0" fontId="13" fillId="3" borderId="12" xfId="0" applyFont="1" applyFill="1" applyBorder="1" applyAlignment="1">
      <alignment horizontal="center" vertical="center" wrapText="1" readingOrder="1"/>
    </xf>
    <xf numFmtId="0" fontId="13" fillId="3" borderId="17" xfId="0" applyFont="1" applyFill="1" applyBorder="1" applyAlignment="1">
      <alignment horizontal="center" vertical="center" wrapText="1" readingOrder="1"/>
    </xf>
    <xf numFmtId="0" fontId="13" fillId="3" borderId="6" xfId="0" applyFont="1" applyFill="1" applyBorder="1" applyAlignment="1">
      <alignment horizontal="center" vertical="center" wrapText="1" readingOrder="1"/>
    </xf>
    <xf numFmtId="0" fontId="13" fillId="3" borderId="14" xfId="0" applyFont="1" applyFill="1" applyBorder="1" applyAlignment="1">
      <alignment horizontal="center" vertical="center" wrapText="1" readingOrder="1"/>
    </xf>
    <xf numFmtId="0" fontId="13" fillId="3" borderId="18" xfId="0" applyFont="1" applyFill="1" applyBorder="1" applyAlignment="1">
      <alignment horizontal="center" vertical="center" wrapText="1" readingOrder="1"/>
    </xf>
    <xf numFmtId="0" fontId="13" fillId="3" borderId="4" xfId="0" applyFont="1" applyFill="1" applyBorder="1" applyAlignment="1">
      <alignment horizontal="center" vertical="center" wrapText="1" readingOrder="1"/>
    </xf>
    <xf numFmtId="0" fontId="13" fillId="3" borderId="10" xfId="0" applyFont="1" applyFill="1" applyBorder="1" applyAlignment="1">
      <alignment horizontal="center" vertical="center" wrapText="1" readingOrder="1"/>
    </xf>
    <xf numFmtId="0" fontId="13" fillId="3" borderId="2" xfId="0" applyFont="1" applyFill="1" applyBorder="1" applyAlignment="1">
      <alignment horizontal="center" vertical="center" wrapText="1" readingOrder="1"/>
    </xf>
    <xf numFmtId="0" fontId="13" fillId="3" borderId="8" xfId="0" applyFont="1" applyFill="1" applyBorder="1" applyAlignment="1">
      <alignment horizontal="center" vertical="center" wrapText="1" readingOrder="1"/>
    </xf>
    <xf numFmtId="0" fontId="13" fillId="3" borderId="16" xfId="0" applyFont="1" applyFill="1" applyBorder="1" applyAlignment="1">
      <alignment horizontal="center" vertical="center" wrapText="1" readingOrder="1"/>
    </xf>
  </cellXfs>
  <cellStyles count="7">
    <cellStyle name="Millares [0]" xfId="5" builtinId="6"/>
    <cellStyle name="Normal" xfId="0" builtinId="0"/>
    <cellStyle name="Normal 2" xfId="3" xr:uid="{00000000-0005-0000-0000-000002000000}"/>
    <cellStyle name="Normal 3" xfId="2" xr:uid="{00000000-0005-0000-0000-000003000000}"/>
    <cellStyle name="Normal 3 2 5" xfId="6" xr:uid="{00000000-0005-0000-0000-000004000000}"/>
    <cellStyle name="Porcentaje" xfId="1" builtinId="5"/>
    <cellStyle name="Porcentaje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ego.hernandez/AppData/Local/Microsoft/Windows/Temporary%20Internet%20Files/Content.Outlook/173U9REX/12.2.%20Reporte%20Ejecuci&#243;n%20al%204.01%202019%20ssnnpp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osana.maureira\escritorio\2019\Reporte%20de%20Ejecuci&#243;n\2.0.%20SSNNPP%2028.02.19-%20Estado%20de%20Ejecucion%20Presupuestaria%20Insumo%20-%2011marzo201915_45_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01"/>
      <sheetName val="P02"/>
      <sheetName val="Gráficos 2018"/>
      <sheetName val="P01 17-18"/>
      <sheetName val="P02 17-18"/>
      <sheetName val="gráficos comparados"/>
      <sheetName val="P02 (2)"/>
      <sheetName val="T 087"/>
      <sheetName val="26,12"/>
      <sheetName val="2112"/>
      <sheetName val="30,11"/>
      <sheetName val="31,08,18 cierre"/>
      <sheetName val="31,05"/>
      <sheetName val="30,06"/>
      <sheetName val="T087 INSUMOS"/>
      <sheetName val="Transferencias Insumos"/>
      <sheetName val="T087"/>
      <sheetName val="Sheet1 (3)"/>
      <sheetName val="base concep pptario"/>
      <sheetName val="PARA P01"/>
      <sheetName val="PARA P02"/>
      <sheetName val="Hoja5"/>
      <sheetName val="08,03(2)"/>
      <sheetName val="31,01"/>
      <sheetName val="Hoja2"/>
      <sheetName val="06,03"/>
      <sheetName val="REGIONES"/>
      <sheetName val="TD 087"/>
      <sheetName val="Hoja8"/>
      <sheetName val="28,12"/>
      <sheetName val="02,01"/>
      <sheetName val="03,01"/>
      <sheetName val="04,01"/>
      <sheetName val="ssnnpp"/>
      <sheetName val="Hoja7"/>
      <sheetName val="24,12"/>
      <sheetName val="DIAS D"/>
      <sheetName val="26,07"/>
      <sheetName val="31,07"/>
      <sheetName val="30,09"/>
      <sheetName val="28,09"/>
      <sheetName val="Sheet1 (2)"/>
      <sheetName val="31,08 1600"/>
      <sheetName val="30,4 mens"/>
      <sheetName val="30,04,18"/>
      <sheetName val="300418final"/>
      <sheetName val="TD 087 (2)"/>
      <sheetName val="TD PARA HACER INFORME EJECU (2"/>
      <sheetName val="TD PARA HACER  EJECUCIÓN ssnnpp"/>
      <sheetName val="18,12"/>
      <sheetName val="17,12,18"/>
      <sheetName val="Sheet1"/>
      <sheetName val="hoja trabajo 087"/>
      <sheetName val="ajuste carga masiva"/>
      <sheetName val="TD PARA HACER REGIONES"/>
      <sheetName val="31,10"/>
      <sheetName val="29,11"/>
      <sheetName val="TD PARA EJ REGIONES"/>
      <sheetName val="COMPARATIVO REGIONES "/>
    </sheetNames>
    <sheetDataSet>
      <sheetData sheetId="0" refreshError="1">
        <row r="8">
          <cell r="B8">
            <v>46562947.361000001</v>
          </cell>
          <cell r="C8">
            <v>42110809.699999996</v>
          </cell>
          <cell r="D8">
            <v>4452137.6610000012</v>
          </cell>
          <cell r="E8">
            <v>41037109.013000004</v>
          </cell>
          <cell r="F8">
            <v>1073700.6869999999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28,02"/>
      <sheetName val="2019 td ejec"/>
      <sheetName val="P03"/>
      <sheetName val="P02"/>
      <sheetName val="P01"/>
      <sheetName val="03-01"/>
      <sheetName val="03-02"/>
      <sheetName val="03-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C4">
            <v>24802027771</v>
          </cell>
        </row>
        <row r="37">
          <cell r="C37">
            <v>52486641460</v>
          </cell>
          <cell r="D37">
            <v>8129229171</v>
          </cell>
          <cell r="E37">
            <v>5797284689</v>
          </cell>
        </row>
      </sheetData>
      <sheetData sheetId="6" refreshError="1"/>
      <sheetData sheetId="7" refreshError="1"/>
      <sheetData sheetId="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zoomScale="90" zoomScaleNormal="90" workbookViewId="0">
      <selection activeCell="B2" sqref="B2:I2"/>
    </sheetView>
  </sheetViews>
  <sheetFormatPr baseColWidth="10" defaultRowHeight="15" x14ac:dyDescent="0.25"/>
  <cols>
    <col min="2" max="2" width="49.5703125" customWidth="1"/>
    <col min="3" max="4" width="16.28515625" customWidth="1"/>
    <col min="5" max="5" width="16.7109375" customWidth="1"/>
    <col min="6" max="6" width="16.28515625" customWidth="1"/>
    <col min="7" max="7" width="18.28515625" customWidth="1"/>
    <col min="8" max="9" width="16.28515625" customWidth="1"/>
  </cols>
  <sheetData>
    <row r="2" spans="2:9" x14ac:dyDescent="0.25">
      <c r="B2" s="231" t="s">
        <v>108</v>
      </c>
      <c r="C2" s="231"/>
      <c r="D2" s="231"/>
      <c r="E2" s="231"/>
      <c r="F2" s="231"/>
      <c r="G2" s="231"/>
      <c r="H2" s="231"/>
      <c r="I2" s="231"/>
    </row>
    <row r="3" spans="2:9" x14ac:dyDescent="0.25">
      <c r="B3" s="232" t="s">
        <v>340</v>
      </c>
      <c r="C3" s="232"/>
      <c r="D3" s="232"/>
      <c r="E3" s="232"/>
      <c r="F3" s="232"/>
      <c r="G3" s="232"/>
      <c r="H3" s="232"/>
      <c r="I3" s="232"/>
    </row>
    <row r="4" spans="2:9" x14ac:dyDescent="0.25">
      <c r="B4" s="225" t="s">
        <v>315</v>
      </c>
    </row>
    <row r="5" spans="2:9" ht="30" x14ac:dyDescent="0.25">
      <c r="B5" s="153" t="s">
        <v>117</v>
      </c>
      <c r="C5" s="153" t="s">
        <v>2</v>
      </c>
      <c r="D5" s="153" t="s">
        <v>3</v>
      </c>
      <c r="E5" s="153" t="s">
        <v>4</v>
      </c>
      <c r="F5" s="153" t="s">
        <v>5</v>
      </c>
      <c r="G5" s="153" t="s">
        <v>6</v>
      </c>
      <c r="H5" s="153" t="s">
        <v>7</v>
      </c>
      <c r="I5" s="153" t="s">
        <v>8</v>
      </c>
    </row>
    <row r="6" spans="2:9" x14ac:dyDescent="0.25">
      <c r="B6" s="152" t="s">
        <v>120</v>
      </c>
      <c r="C6" s="54">
        <f>SUM(C7:C8)</f>
        <v>168792764</v>
      </c>
      <c r="D6" s="54">
        <f>SUM(D7:D8)</f>
        <v>10927909</v>
      </c>
      <c r="E6" s="54">
        <f>SUM(E7:E8)</f>
        <v>157864855</v>
      </c>
      <c r="F6" s="54">
        <f>SUM(F7:F8)</f>
        <v>10852097</v>
      </c>
      <c r="G6" s="54">
        <f>SUM(G7:G8)</f>
        <v>75812</v>
      </c>
      <c r="H6" s="55">
        <f>+D6/C6</f>
        <v>6.4741572689691843E-2</v>
      </c>
      <c r="I6" s="55">
        <f>+F6/C6</f>
        <v>6.4292430213418392E-2</v>
      </c>
    </row>
    <row r="7" spans="2:9" x14ac:dyDescent="0.25">
      <c r="B7" s="62" t="s">
        <v>112</v>
      </c>
      <c r="C7" s="57">
        <f>+'01-01'!C24</f>
        <v>117958046</v>
      </c>
      <c r="D7" s="57">
        <f>+'01-01'!D24</f>
        <v>7267782</v>
      </c>
      <c r="E7" s="57">
        <f>+'01-01'!E24</f>
        <v>110690264</v>
      </c>
      <c r="F7" s="57">
        <f>+'01-01'!F24</f>
        <v>7203072</v>
      </c>
      <c r="G7" s="57">
        <f>+'01-01'!G24</f>
        <v>64710</v>
      </c>
      <c r="H7" s="58">
        <f>+D7/C7</f>
        <v>6.1613279012777133E-2</v>
      </c>
      <c r="I7" s="58">
        <f>+F7/C7</f>
        <v>6.1064694137100237E-2</v>
      </c>
    </row>
    <row r="8" spans="2:9" x14ac:dyDescent="0.25">
      <c r="B8" s="63" t="s">
        <v>113</v>
      </c>
      <c r="C8" s="57">
        <f>+'01-02'!C11</f>
        <v>50834718</v>
      </c>
      <c r="D8" s="57">
        <f>+'01-02'!D11</f>
        <v>3660127</v>
      </c>
      <c r="E8" s="57">
        <f>+'01-02'!E11</f>
        <v>47174591</v>
      </c>
      <c r="F8" s="57">
        <f>+'01-02'!F11</f>
        <v>3649025</v>
      </c>
      <c r="G8" s="57">
        <f>+'01-02'!G11</f>
        <v>11102</v>
      </c>
      <c r="H8" s="58">
        <f t="shared" ref="H8" si="0">+D8/C8</f>
        <v>7.2000537113238242E-2</v>
      </c>
      <c r="I8" s="58">
        <f t="shared" ref="I8" si="1">+F8/C8</f>
        <v>7.1782143062148987E-2</v>
      </c>
    </row>
    <row r="9" spans="2:9" x14ac:dyDescent="0.25">
      <c r="B9" s="59" t="s">
        <v>121</v>
      </c>
      <c r="C9" s="161">
        <f>+C10</f>
        <v>2880161</v>
      </c>
      <c r="D9" s="161">
        <f t="shared" ref="D9:G9" si="2">+D10</f>
        <v>523077</v>
      </c>
      <c r="E9" s="161">
        <f t="shared" si="2"/>
        <v>2357084</v>
      </c>
      <c r="F9" s="161">
        <f t="shared" si="2"/>
        <v>491812</v>
      </c>
      <c r="G9" s="161">
        <f t="shared" si="2"/>
        <v>31265</v>
      </c>
      <c r="H9" s="55">
        <f>+D9/C9</f>
        <v>0.18161380561711654</v>
      </c>
      <c r="I9" s="55">
        <f>+F9/C9</f>
        <v>0.17075850968053521</v>
      </c>
    </row>
    <row r="10" spans="2:9" x14ac:dyDescent="0.25">
      <c r="B10" s="62" t="s">
        <v>118</v>
      </c>
      <c r="C10" s="57">
        <f>+'02-01'!C20</f>
        <v>2880161</v>
      </c>
      <c r="D10" s="57">
        <f>+'02-01'!D20</f>
        <v>523077</v>
      </c>
      <c r="E10" s="57">
        <f>+'02-01'!E20</f>
        <v>2357084</v>
      </c>
      <c r="F10" s="57">
        <f>+'02-01'!F20</f>
        <v>491812</v>
      </c>
      <c r="G10" s="57">
        <f>+'02-01'!G20</f>
        <v>31265</v>
      </c>
      <c r="H10" s="58">
        <f t="shared" ref="H10" si="3">+D10/C10</f>
        <v>0.18161380561711654</v>
      </c>
      <c r="I10" s="58">
        <f t="shared" ref="I10" si="4">+F10/C10</f>
        <v>0.17075850968053521</v>
      </c>
    </row>
    <row r="11" spans="2:9" x14ac:dyDescent="0.25">
      <c r="B11" s="61" t="s">
        <v>122</v>
      </c>
      <c r="C11" s="60">
        <f>SUM(C12:C15)</f>
        <v>111708866</v>
      </c>
      <c r="D11" s="60">
        <f>SUM(D12:D15)</f>
        <v>14057240</v>
      </c>
      <c r="E11" s="60">
        <f>SUM(E12:E15)</f>
        <v>97651626</v>
      </c>
      <c r="F11" s="60">
        <f>SUM(F12:F15)</f>
        <v>14057240</v>
      </c>
      <c r="G11" s="60">
        <f>SUM(G12:G15)</f>
        <v>0</v>
      </c>
      <c r="H11" s="55">
        <f>+D11/C11</f>
        <v>0.12583817653291726</v>
      </c>
      <c r="I11" s="55">
        <f>+F11/C11</f>
        <v>0.12583817653291726</v>
      </c>
    </row>
    <row r="12" spans="2:9" x14ac:dyDescent="0.25">
      <c r="B12" s="62" t="s">
        <v>114</v>
      </c>
      <c r="C12" s="57">
        <f>+'03-01'!C19</f>
        <v>89955180</v>
      </c>
      <c r="D12" s="57">
        <f>+'03-01'!D19</f>
        <v>11700680</v>
      </c>
      <c r="E12" s="57">
        <f>+'03-01'!E19</f>
        <v>78254500</v>
      </c>
      <c r="F12" s="57">
        <f>+'03-01'!F19</f>
        <v>11700680</v>
      </c>
      <c r="G12" s="57">
        <f>+'03-01'!G19</f>
        <v>0</v>
      </c>
      <c r="H12" s="58">
        <f t="shared" ref="H12:H15" si="5">+D12/C12</f>
        <v>0.13007233157668074</v>
      </c>
      <c r="I12" s="58">
        <f t="shared" ref="I12:I15" si="6">+F12/C12</f>
        <v>0.13007233157668074</v>
      </c>
    </row>
    <row r="13" spans="2:9" x14ac:dyDescent="0.25">
      <c r="B13" s="62" t="s">
        <v>115</v>
      </c>
      <c r="C13" s="57">
        <f>+'03-02'!C17</f>
        <v>6943676</v>
      </c>
      <c r="D13" s="57">
        <f>+'03-02'!D17</f>
        <v>536468</v>
      </c>
      <c r="E13" s="57">
        <f>+'03-02'!E17</f>
        <v>6407208</v>
      </c>
      <c r="F13" s="57">
        <f>+'03-02'!F17</f>
        <v>536468</v>
      </c>
      <c r="G13" s="57">
        <f>+'03-02'!G17</f>
        <v>0</v>
      </c>
      <c r="H13" s="58">
        <f t="shared" si="5"/>
        <v>7.7259941276061839E-2</v>
      </c>
      <c r="I13" s="58">
        <f t="shared" si="6"/>
        <v>7.7259941276061839E-2</v>
      </c>
    </row>
    <row r="14" spans="2:9" x14ac:dyDescent="0.25">
      <c r="B14" s="62" t="s">
        <v>116</v>
      </c>
      <c r="C14" s="57">
        <f>+'03-03'!C11</f>
        <v>7591371</v>
      </c>
      <c r="D14" s="57">
        <f>+'03-03'!D11</f>
        <v>965955</v>
      </c>
      <c r="E14" s="57">
        <f>+'03-03'!E11</f>
        <v>6625416</v>
      </c>
      <c r="F14" s="57">
        <f>+'03-03'!F11</f>
        <v>965955</v>
      </c>
      <c r="G14" s="57">
        <f>+'03-03'!G11</f>
        <v>0</v>
      </c>
      <c r="H14" s="58">
        <f t="shared" si="5"/>
        <v>0.12724381406204491</v>
      </c>
      <c r="I14" s="58">
        <f t="shared" si="6"/>
        <v>0.12724381406204491</v>
      </c>
    </row>
    <row r="15" spans="2:9" x14ac:dyDescent="0.25">
      <c r="B15" s="62" t="s">
        <v>272</v>
      </c>
      <c r="C15" s="57">
        <f>+'03-04'!C12</f>
        <v>7218639</v>
      </c>
      <c r="D15" s="57">
        <f>+'03-04'!D12</f>
        <v>854137</v>
      </c>
      <c r="E15" s="57">
        <f>+'03-04'!E12</f>
        <v>6364502</v>
      </c>
      <c r="F15" s="57">
        <f>+'03-04'!F12</f>
        <v>854137</v>
      </c>
      <c r="G15" s="57">
        <f>+'03-04'!G12</f>
        <v>0</v>
      </c>
      <c r="H15" s="58">
        <f t="shared" si="5"/>
        <v>0.11832382807894951</v>
      </c>
      <c r="I15" s="58">
        <f t="shared" si="6"/>
        <v>0.11832382807894951</v>
      </c>
    </row>
    <row r="16" spans="2:9" x14ac:dyDescent="0.25">
      <c r="B16" s="196" t="s">
        <v>119</v>
      </c>
      <c r="C16" s="162">
        <f>+C6+C9+C11</f>
        <v>283381791</v>
      </c>
      <c r="D16" s="162">
        <f>+D6+D9+D11</f>
        <v>25508226</v>
      </c>
      <c r="E16" s="162">
        <f>+E6+E9+E11</f>
        <v>257873565</v>
      </c>
      <c r="F16" s="162">
        <f>+F6+F9+F11</f>
        <v>25401149</v>
      </c>
      <c r="G16" s="162">
        <f>+G6+G9+G11</f>
        <v>107077</v>
      </c>
      <c r="H16" s="178">
        <f>+D16/C16</f>
        <v>9.0013638173385674E-2</v>
      </c>
      <c r="I16" s="178">
        <f>+F16/C16</f>
        <v>8.9635783973148794E-2</v>
      </c>
    </row>
    <row r="18" spans="2:12" x14ac:dyDescent="0.25">
      <c r="B18" s="226" t="s">
        <v>316</v>
      </c>
    </row>
    <row r="19" spans="2:12" ht="30" x14ac:dyDescent="0.25">
      <c r="B19" s="153" t="s">
        <v>117</v>
      </c>
      <c r="C19" s="153" t="s">
        <v>2</v>
      </c>
      <c r="D19" s="153" t="s">
        <v>3</v>
      </c>
      <c r="E19" s="153" t="s">
        <v>4</v>
      </c>
      <c r="F19" s="153" t="s">
        <v>5</v>
      </c>
      <c r="G19" s="153" t="s">
        <v>6</v>
      </c>
      <c r="H19" s="153" t="s">
        <v>7</v>
      </c>
      <c r="I19" s="153" t="s">
        <v>8</v>
      </c>
    </row>
    <row r="20" spans="2:12" x14ac:dyDescent="0.25">
      <c r="B20" s="152" t="s">
        <v>120</v>
      </c>
      <c r="C20" s="54">
        <f>SUM(C21:C22)</f>
        <v>168792764</v>
      </c>
      <c r="D20" s="54">
        <f>SUM(D21:D22)</f>
        <v>65875718</v>
      </c>
      <c r="E20" s="54">
        <f>SUM(E21:E22)</f>
        <v>102917046</v>
      </c>
      <c r="F20" s="54">
        <f>SUM(F21:F22)</f>
        <v>28121374</v>
      </c>
      <c r="G20" s="54">
        <f>SUM(G21:G22)</f>
        <v>37754344</v>
      </c>
      <c r="H20" s="55">
        <f>+D20/C20</f>
        <v>0.39027572295693908</v>
      </c>
      <c r="I20" s="55">
        <f>+F20/C20</f>
        <v>0.16660295935434768</v>
      </c>
    </row>
    <row r="21" spans="2:12" x14ac:dyDescent="0.25">
      <c r="B21" s="62" t="s">
        <v>112</v>
      </c>
      <c r="C21" s="57">
        <f>'01-01'!C80</f>
        <v>117958046</v>
      </c>
      <c r="D21" s="57">
        <f>'01-01'!D80</f>
        <v>49444394</v>
      </c>
      <c r="E21" s="57">
        <f>'01-01'!E80</f>
        <v>68513652</v>
      </c>
      <c r="F21" s="57">
        <f>'01-01'!F80</f>
        <v>19789603</v>
      </c>
      <c r="G21" s="57">
        <f>'01-01'!G80</f>
        <v>29654791</v>
      </c>
      <c r="H21" s="58">
        <f>+D21/C21</f>
        <v>0.41916932059047501</v>
      </c>
      <c r="I21" s="58">
        <f>+F21/C21</f>
        <v>0.16776814868567763</v>
      </c>
    </row>
    <row r="22" spans="2:12" x14ac:dyDescent="0.25">
      <c r="B22" s="63" t="s">
        <v>113</v>
      </c>
      <c r="C22" s="57">
        <f>'01-02'!C36</f>
        <v>50834718</v>
      </c>
      <c r="D22" s="57">
        <f>'01-02'!D36</f>
        <v>16431324</v>
      </c>
      <c r="E22" s="57">
        <f>'01-02'!E36</f>
        <v>34403394</v>
      </c>
      <c r="F22" s="57">
        <f>'01-02'!F36</f>
        <v>8331771</v>
      </c>
      <c r="G22" s="57">
        <f>'01-02'!G36</f>
        <v>8099553</v>
      </c>
      <c r="H22" s="58">
        <f t="shared" ref="H22:H29" si="7">+D22/C22</f>
        <v>0.3232303560727926</v>
      </c>
      <c r="I22" s="58">
        <f t="shared" ref="I22:I29" si="8">+F22/C22</f>
        <v>0.16389922729580206</v>
      </c>
      <c r="K22" s="28"/>
      <c r="L22" s="28"/>
    </row>
    <row r="23" spans="2:12" x14ac:dyDescent="0.25">
      <c r="B23" s="59" t="s">
        <v>121</v>
      </c>
      <c r="C23" s="161">
        <f>+C24</f>
        <v>2880161</v>
      </c>
      <c r="D23" s="161">
        <f t="shared" ref="D23:G23" si="9">+D24</f>
        <v>595899</v>
      </c>
      <c r="E23" s="161">
        <f t="shared" si="9"/>
        <v>2284262</v>
      </c>
      <c r="F23" s="161">
        <f t="shared" si="9"/>
        <v>487197</v>
      </c>
      <c r="G23" s="161">
        <f t="shared" si="9"/>
        <v>108702</v>
      </c>
      <c r="H23" s="55">
        <f>+D23/C23</f>
        <v>0.20689780883776984</v>
      </c>
      <c r="I23" s="55">
        <f>+F23/C23</f>
        <v>0.1691561687002914</v>
      </c>
      <c r="K23" s="28"/>
      <c r="L23" s="28"/>
    </row>
    <row r="24" spans="2:12" x14ac:dyDescent="0.25">
      <c r="B24" s="62" t="s">
        <v>118</v>
      </c>
      <c r="C24" s="57">
        <f>'02-01'!C47</f>
        <v>2880161</v>
      </c>
      <c r="D24" s="57">
        <f>'02-01'!D47</f>
        <v>595899</v>
      </c>
      <c r="E24" s="57">
        <f>'02-01'!E47</f>
        <v>2284262</v>
      </c>
      <c r="F24" s="57">
        <f>'02-01'!F47</f>
        <v>487197</v>
      </c>
      <c r="G24" s="57">
        <f>'02-01'!G47</f>
        <v>108702</v>
      </c>
      <c r="H24" s="58">
        <f t="shared" si="7"/>
        <v>0.20689780883776984</v>
      </c>
      <c r="I24" s="58">
        <f t="shared" si="8"/>
        <v>0.1691561687002914</v>
      </c>
    </row>
    <row r="25" spans="2:12" x14ac:dyDescent="0.25">
      <c r="B25" s="61" t="s">
        <v>122</v>
      </c>
      <c r="C25" s="60">
        <f>SUM(C26:C29)</f>
        <v>111708866</v>
      </c>
      <c r="D25" s="60">
        <f>SUM(D26:D29)</f>
        <v>23999237</v>
      </c>
      <c r="E25" s="60">
        <f>SUM(E26:E29)</f>
        <v>87709629</v>
      </c>
      <c r="F25" s="60">
        <f>SUM(F26:F29)</f>
        <v>14868616</v>
      </c>
      <c r="G25" s="60">
        <f>SUM(G26:G29)</f>
        <v>9130621</v>
      </c>
      <c r="H25" s="55">
        <f>+D25/C25</f>
        <v>0.21483735230111459</v>
      </c>
      <c r="I25" s="55">
        <f>+F25/C25</f>
        <v>0.1331014854273071</v>
      </c>
    </row>
    <row r="26" spans="2:12" x14ac:dyDescent="0.25">
      <c r="B26" s="62" t="s">
        <v>114</v>
      </c>
      <c r="C26" s="57">
        <f>'03-01'!C73</f>
        <v>89955180</v>
      </c>
      <c r="D26" s="57">
        <f>'03-01'!D73</f>
        <v>15592716</v>
      </c>
      <c r="E26" s="57">
        <f>'03-01'!E73</f>
        <v>74362464</v>
      </c>
      <c r="F26" s="57">
        <f>'03-01'!F73</f>
        <v>11420487</v>
      </c>
      <c r="G26" s="57">
        <f>'03-01'!G73</f>
        <v>4172229</v>
      </c>
      <c r="H26" s="58">
        <f t="shared" si="7"/>
        <v>0.17333872268389658</v>
      </c>
      <c r="I26" s="58">
        <f t="shared" si="8"/>
        <v>0.12695752484737399</v>
      </c>
    </row>
    <row r="27" spans="2:12" x14ac:dyDescent="0.25">
      <c r="B27" s="62" t="s">
        <v>115</v>
      </c>
      <c r="C27" s="57">
        <f>'03-02'!C37</f>
        <v>6943676</v>
      </c>
      <c r="D27" s="57">
        <f>'03-02'!D37</f>
        <v>4959519</v>
      </c>
      <c r="E27" s="57">
        <f>'03-02'!E37</f>
        <v>1984157</v>
      </c>
      <c r="F27" s="57">
        <f>'03-02'!F37</f>
        <v>1273218</v>
      </c>
      <c r="G27" s="57">
        <f>'03-02'!G37</f>
        <v>3686301</v>
      </c>
      <c r="H27" s="58">
        <f t="shared" si="7"/>
        <v>0.71424977202277296</v>
      </c>
      <c r="I27" s="58">
        <f t="shared" si="8"/>
        <v>0.18336368229162767</v>
      </c>
    </row>
    <row r="28" spans="2:12" x14ac:dyDescent="0.25">
      <c r="B28" s="62" t="s">
        <v>116</v>
      </c>
      <c r="C28" s="57">
        <f>'03-03'!C30</f>
        <v>7591371</v>
      </c>
      <c r="D28" s="57">
        <f>'03-03'!D30</f>
        <v>1788066</v>
      </c>
      <c r="E28" s="57">
        <f>'03-03'!E30</f>
        <v>5803305</v>
      </c>
      <c r="F28" s="57">
        <f>'03-03'!F30</f>
        <v>1077032</v>
      </c>
      <c r="G28" s="57">
        <f>'03-03'!G30</f>
        <v>711034</v>
      </c>
      <c r="H28" s="58">
        <f t="shared" si="7"/>
        <v>0.23553927215518777</v>
      </c>
      <c r="I28" s="58">
        <f t="shared" si="8"/>
        <v>0.14187582190357972</v>
      </c>
    </row>
    <row r="29" spans="2:12" x14ac:dyDescent="0.25">
      <c r="B29" s="62" t="s">
        <v>272</v>
      </c>
      <c r="C29" s="57">
        <f>'03-04'!C40</f>
        <v>7218639</v>
      </c>
      <c r="D29" s="57">
        <f>'03-04'!D40</f>
        <v>1658936</v>
      </c>
      <c r="E29" s="57">
        <f>'03-04'!E40</f>
        <v>5559703</v>
      </c>
      <c r="F29" s="57">
        <f>'03-04'!F40</f>
        <v>1097879</v>
      </c>
      <c r="G29" s="57">
        <f>'03-04'!G40</f>
        <v>561057</v>
      </c>
      <c r="H29" s="58">
        <f t="shared" si="7"/>
        <v>0.22981284976295394</v>
      </c>
      <c r="I29" s="58">
        <f t="shared" si="8"/>
        <v>0.15208947282167734</v>
      </c>
    </row>
    <row r="30" spans="2:12" x14ac:dyDescent="0.25">
      <c r="B30" s="196" t="s">
        <v>119</v>
      </c>
      <c r="C30" s="162">
        <f>+C20+C23+C25</f>
        <v>283381791</v>
      </c>
      <c r="D30" s="162">
        <f>+D20+D23+D25</f>
        <v>90470854</v>
      </c>
      <c r="E30" s="162">
        <f>+E20+E23+E25</f>
        <v>192910937</v>
      </c>
      <c r="F30" s="162">
        <f>+F20+F23+F25</f>
        <v>43477187</v>
      </c>
      <c r="G30" s="162">
        <f>+G20+G23+G25</f>
        <v>46993667</v>
      </c>
      <c r="H30" s="178">
        <f>+D30/C30</f>
        <v>0.31925429534743821</v>
      </c>
      <c r="I30" s="178">
        <f>+F30/C30</f>
        <v>0.15342265586852755</v>
      </c>
    </row>
    <row r="31" spans="2:12" x14ac:dyDescent="0.25">
      <c r="B31" s="56"/>
      <c r="C31" s="56"/>
      <c r="D31" s="56"/>
      <c r="E31" s="56"/>
      <c r="F31" s="56"/>
      <c r="G31" s="56"/>
      <c r="H31" s="56"/>
      <c r="I31" s="56"/>
    </row>
    <row r="32" spans="2:12" x14ac:dyDescent="0.25">
      <c r="B32" s="39"/>
      <c r="C32" s="39"/>
      <c r="D32" s="39"/>
      <c r="E32" s="39"/>
      <c r="F32" s="39"/>
      <c r="G32" s="39"/>
      <c r="H32" s="39"/>
      <c r="I32" s="39"/>
    </row>
    <row r="36" spans="3:4" x14ac:dyDescent="0.25">
      <c r="D36" s="28"/>
    </row>
    <row r="41" spans="3:4" x14ac:dyDescent="0.25">
      <c r="C41" t="s">
        <v>81</v>
      </c>
    </row>
  </sheetData>
  <mergeCells count="2">
    <mergeCell ref="B2:I2"/>
    <mergeCell ref="B3:I3"/>
  </mergeCells>
  <pageMargins left="0.7" right="0.7" top="0.75" bottom="0.75" header="0.3" footer="0.3"/>
  <pageSetup scale="6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H63"/>
  <sheetViews>
    <sheetView topLeftCell="A40" workbookViewId="0">
      <selection activeCell="D19" sqref="D19"/>
    </sheetView>
  </sheetViews>
  <sheetFormatPr baseColWidth="10" defaultRowHeight="15" outlineLevelRow="1" x14ac:dyDescent="0.25"/>
  <cols>
    <col min="1" max="1" width="39.140625" customWidth="1"/>
    <col min="2" max="8" width="14.85546875" customWidth="1"/>
  </cols>
  <sheetData>
    <row r="2" spans="1:8" ht="14.25" customHeight="1" x14ac:dyDescent="0.25">
      <c r="A2" s="242" t="s">
        <v>219</v>
      </c>
      <c r="B2" s="242"/>
      <c r="C2" s="242"/>
      <c r="D2" s="242"/>
      <c r="E2" s="242"/>
      <c r="F2" s="242"/>
      <c r="G2" s="242"/>
      <c r="H2" s="242"/>
    </row>
    <row r="3" spans="1:8" ht="14.25" customHeight="1" x14ac:dyDescent="0.25">
      <c r="A3" s="243" t="s">
        <v>323</v>
      </c>
      <c r="B3" s="243"/>
      <c r="C3" s="243"/>
      <c r="D3" s="243"/>
      <c r="E3" s="243"/>
      <c r="F3" s="243"/>
      <c r="G3" s="243"/>
      <c r="H3" s="243"/>
    </row>
    <row r="4" spans="1:8" ht="14.25" customHeight="1" x14ac:dyDescent="0.25">
      <c r="A4" s="52"/>
      <c r="B4" s="52"/>
      <c r="C4" s="52"/>
      <c r="D4" s="52"/>
      <c r="E4" s="52"/>
      <c r="F4" s="52"/>
      <c r="G4" s="52"/>
      <c r="H4" s="52"/>
    </row>
    <row r="5" spans="1:8" ht="25.5" x14ac:dyDescent="0.25">
      <c r="A5" s="180" t="s">
        <v>220</v>
      </c>
      <c r="B5" s="180" t="s">
        <v>221</v>
      </c>
      <c r="C5" s="180" t="s">
        <v>222</v>
      </c>
      <c r="D5" s="180" t="s">
        <v>223</v>
      </c>
      <c r="E5" s="180" t="s">
        <v>224</v>
      </c>
      <c r="F5" s="180" t="s">
        <v>225</v>
      </c>
      <c r="G5" s="180" t="s">
        <v>226</v>
      </c>
      <c r="H5" s="180" t="s">
        <v>227</v>
      </c>
    </row>
    <row r="6" spans="1:8" ht="14.25" customHeight="1" x14ac:dyDescent="0.25">
      <c r="A6" s="181" t="s">
        <v>228</v>
      </c>
      <c r="B6" s="11">
        <v>0</v>
      </c>
      <c r="C6" s="11">
        <v>0</v>
      </c>
      <c r="D6" s="11">
        <f t="shared" ref="D6:D44" si="0">+B6-C6</f>
        <v>0</v>
      </c>
      <c r="E6" s="11">
        <v>0</v>
      </c>
      <c r="F6" s="11">
        <f>+C6-E6</f>
        <v>0</v>
      </c>
      <c r="G6" s="12" t="e">
        <f>+C6/B6</f>
        <v>#DIV/0!</v>
      </c>
      <c r="H6" s="12" t="e">
        <f>+E6/B6</f>
        <v>#DIV/0!</v>
      </c>
    </row>
    <row r="7" spans="1:8" ht="14.25" customHeight="1" x14ac:dyDescent="0.25">
      <c r="A7" s="182" t="s">
        <v>229</v>
      </c>
      <c r="B7" s="11">
        <v>47469802</v>
      </c>
      <c r="C7" s="11">
        <v>42655633</v>
      </c>
      <c r="D7" s="11">
        <f>+B7-C7</f>
        <v>4814169</v>
      </c>
      <c r="E7" s="11">
        <v>42460117</v>
      </c>
      <c r="F7" s="11">
        <f t="shared" ref="F7:F44" si="1">+C7-E7</f>
        <v>195516</v>
      </c>
      <c r="G7" s="12">
        <f t="shared" ref="G7:G63" si="2">+C7/B7</f>
        <v>0.89858459910997734</v>
      </c>
      <c r="H7" s="12">
        <f t="shared" ref="H7:H63" si="3">+E7/B7</f>
        <v>0.89446585431302195</v>
      </c>
    </row>
    <row r="8" spans="1:8" ht="14.25" customHeight="1" x14ac:dyDescent="0.25">
      <c r="A8" s="182" t="s">
        <v>230</v>
      </c>
      <c r="B8" s="11">
        <v>90230340</v>
      </c>
      <c r="C8" s="11">
        <v>70102801</v>
      </c>
      <c r="D8" s="11">
        <f t="shared" si="0"/>
        <v>20127539</v>
      </c>
      <c r="E8" s="11">
        <v>70102796</v>
      </c>
      <c r="F8" s="11">
        <f t="shared" si="1"/>
        <v>5</v>
      </c>
      <c r="G8" s="154">
        <f t="shared" si="2"/>
        <v>0.77693158420992314</v>
      </c>
      <c r="H8" s="154">
        <f t="shared" si="3"/>
        <v>0.77693152879618987</v>
      </c>
    </row>
    <row r="9" spans="1:8" ht="14.25" customHeight="1" x14ac:dyDescent="0.25">
      <c r="A9" s="182" t="s">
        <v>231</v>
      </c>
      <c r="B9" s="11">
        <v>84368943</v>
      </c>
      <c r="C9" s="11">
        <v>81109970</v>
      </c>
      <c r="D9" s="11">
        <f t="shared" si="0"/>
        <v>3258973</v>
      </c>
      <c r="E9" s="11">
        <v>81097776</v>
      </c>
      <c r="F9" s="11">
        <f t="shared" si="1"/>
        <v>12194</v>
      </c>
      <c r="G9" s="154">
        <f t="shared" si="2"/>
        <v>0.96137236186543196</v>
      </c>
      <c r="H9" s="154">
        <f t="shared" si="3"/>
        <v>0.96122783000849021</v>
      </c>
    </row>
    <row r="10" spans="1:8" ht="14.25" customHeight="1" x14ac:dyDescent="0.25">
      <c r="A10" s="182" t="s">
        <v>232</v>
      </c>
      <c r="B10" s="11">
        <v>5931295</v>
      </c>
      <c r="C10" s="11">
        <v>4900032</v>
      </c>
      <c r="D10" s="11">
        <f t="shared" si="0"/>
        <v>1031263</v>
      </c>
      <c r="E10" s="11">
        <v>4836330</v>
      </c>
      <c r="F10" s="11">
        <f t="shared" si="1"/>
        <v>63702</v>
      </c>
      <c r="G10" s="12">
        <f t="shared" si="2"/>
        <v>0.82613189868317116</v>
      </c>
      <c r="H10" s="12">
        <f t="shared" si="3"/>
        <v>0.81539191694225288</v>
      </c>
    </row>
    <row r="11" spans="1:8" ht="14.25" customHeight="1" x14ac:dyDescent="0.25">
      <c r="A11" s="182" t="s">
        <v>233</v>
      </c>
      <c r="B11" s="11">
        <v>1082134375</v>
      </c>
      <c r="C11" s="11">
        <v>1006051983</v>
      </c>
      <c r="D11" s="11">
        <f t="shared" si="0"/>
        <v>76082392</v>
      </c>
      <c r="E11" s="11">
        <v>988787045</v>
      </c>
      <c r="F11" s="11">
        <f t="shared" si="1"/>
        <v>17264938</v>
      </c>
      <c r="G11" s="12">
        <f t="shared" si="2"/>
        <v>0.92969228798410553</v>
      </c>
      <c r="H11" s="12">
        <f t="shared" si="3"/>
        <v>0.91373776477620905</v>
      </c>
    </row>
    <row r="12" spans="1:8" ht="14.25" customHeight="1" x14ac:dyDescent="0.25">
      <c r="A12" s="182" t="s">
        <v>234</v>
      </c>
      <c r="B12" s="11">
        <v>760478000</v>
      </c>
      <c r="C12" s="11">
        <v>757577734</v>
      </c>
      <c r="D12" s="11">
        <f t="shared" si="0"/>
        <v>2900266</v>
      </c>
      <c r="E12" s="11">
        <v>755537394</v>
      </c>
      <c r="F12" s="11">
        <f t="shared" si="1"/>
        <v>2040340</v>
      </c>
      <c r="G12" s="12">
        <f t="shared" si="2"/>
        <v>0.99618625916857551</v>
      </c>
      <c r="H12" s="12">
        <f t="shared" si="3"/>
        <v>0.99350328872104121</v>
      </c>
    </row>
    <row r="13" spans="1:8" ht="14.25" customHeight="1" x14ac:dyDescent="0.25">
      <c r="A13" s="182" t="s">
        <v>169</v>
      </c>
      <c r="B13" s="11">
        <v>91155904</v>
      </c>
      <c r="C13" s="11">
        <v>84393011</v>
      </c>
      <c r="D13" s="11">
        <f t="shared" si="0"/>
        <v>6762893</v>
      </c>
      <c r="E13" s="11">
        <v>84304351</v>
      </c>
      <c r="F13" s="11">
        <f t="shared" si="1"/>
        <v>88660</v>
      </c>
      <c r="G13" s="12">
        <f t="shared" si="2"/>
        <v>0.92580959978192967</v>
      </c>
      <c r="H13" s="12">
        <f t="shared" si="3"/>
        <v>0.92483698038911444</v>
      </c>
    </row>
    <row r="14" spans="1:8" ht="14.25" customHeight="1" x14ac:dyDescent="0.25">
      <c r="A14" s="182" t="s">
        <v>235</v>
      </c>
      <c r="B14" s="11">
        <v>12721970</v>
      </c>
      <c r="C14" s="11">
        <v>12712870</v>
      </c>
      <c r="D14" s="11">
        <f t="shared" si="0"/>
        <v>9100</v>
      </c>
      <c r="E14" s="11">
        <v>12712870</v>
      </c>
      <c r="F14" s="11">
        <f t="shared" si="1"/>
        <v>0</v>
      </c>
      <c r="G14" s="12">
        <f t="shared" si="2"/>
        <v>0.99928470197618768</v>
      </c>
      <c r="H14" s="12">
        <f t="shared" si="3"/>
        <v>0.99928470197618768</v>
      </c>
    </row>
    <row r="15" spans="1:8" ht="14.25" customHeight="1" x14ac:dyDescent="0.25">
      <c r="A15" s="182" t="s">
        <v>143</v>
      </c>
      <c r="B15" s="11">
        <v>5000000</v>
      </c>
      <c r="C15" s="11">
        <v>4121447</v>
      </c>
      <c r="D15" s="11">
        <f t="shared" si="0"/>
        <v>878553</v>
      </c>
      <c r="E15" s="11">
        <v>4121447</v>
      </c>
      <c r="F15" s="11">
        <f t="shared" si="1"/>
        <v>0</v>
      </c>
      <c r="G15" s="12">
        <f t="shared" si="2"/>
        <v>0.82428939999999995</v>
      </c>
      <c r="H15" s="12">
        <f t="shared" si="3"/>
        <v>0.82428939999999995</v>
      </c>
    </row>
    <row r="16" spans="1:8" ht="14.25" customHeight="1" x14ac:dyDescent="0.25">
      <c r="A16" s="182" t="s">
        <v>236</v>
      </c>
      <c r="B16" s="11">
        <v>6985414</v>
      </c>
      <c r="C16" s="11">
        <v>5935662</v>
      </c>
      <c r="D16" s="11">
        <f t="shared" si="0"/>
        <v>1049752</v>
      </c>
      <c r="E16" s="11">
        <v>5838092</v>
      </c>
      <c r="F16" s="11">
        <f t="shared" si="1"/>
        <v>97570</v>
      </c>
      <c r="G16" s="12">
        <f t="shared" si="2"/>
        <v>0.84972229276604083</v>
      </c>
      <c r="H16" s="12">
        <f t="shared" si="3"/>
        <v>0.83575461669129414</v>
      </c>
    </row>
    <row r="17" spans="1:8" ht="14.25" customHeight="1" x14ac:dyDescent="0.25">
      <c r="A17" s="182" t="s">
        <v>237</v>
      </c>
      <c r="B17" s="11">
        <v>75782145</v>
      </c>
      <c r="C17" s="11">
        <v>75248626</v>
      </c>
      <c r="D17" s="11">
        <f t="shared" si="0"/>
        <v>533519</v>
      </c>
      <c r="E17" s="11">
        <v>74211344</v>
      </c>
      <c r="F17" s="11">
        <f t="shared" si="1"/>
        <v>1037282</v>
      </c>
      <c r="G17" s="12">
        <f t="shared" si="2"/>
        <v>0.99295983242490693</v>
      </c>
      <c r="H17" s="12">
        <f t="shared" si="3"/>
        <v>0.97927214913222638</v>
      </c>
    </row>
    <row r="18" spans="1:8" ht="14.25" customHeight="1" x14ac:dyDescent="0.25">
      <c r="A18" s="182" t="s">
        <v>238</v>
      </c>
      <c r="B18" s="11">
        <v>115384000</v>
      </c>
      <c r="C18" s="11">
        <v>93905000</v>
      </c>
      <c r="D18" s="11">
        <f t="shared" si="0"/>
        <v>21479000</v>
      </c>
      <c r="E18" s="11">
        <v>93905000</v>
      </c>
      <c r="F18" s="11">
        <f t="shared" si="1"/>
        <v>0</v>
      </c>
      <c r="G18" s="12">
        <f t="shared" si="2"/>
        <v>0.8138476738542606</v>
      </c>
      <c r="H18" s="12">
        <f t="shared" si="3"/>
        <v>0.8138476738542606</v>
      </c>
    </row>
    <row r="19" spans="1:8" ht="14.25" customHeight="1" x14ac:dyDescent="0.25">
      <c r="A19" s="182" t="s">
        <v>239</v>
      </c>
      <c r="B19" s="11">
        <v>285679000</v>
      </c>
      <c r="C19" s="11">
        <v>280541199</v>
      </c>
      <c r="D19" s="11">
        <f t="shared" si="0"/>
        <v>5137801</v>
      </c>
      <c r="E19" s="11">
        <v>265202214</v>
      </c>
      <c r="F19" s="11">
        <f t="shared" si="1"/>
        <v>15338985</v>
      </c>
      <c r="G19" s="12">
        <f t="shared" si="2"/>
        <v>0.98201547541121326</v>
      </c>
      <c r="H19" s="12">
        <f t="shared" si="3"/>
        <v>0.92832239681600681</v>
      </c>
    </row>
    <row r="20" spans="1:8" ht="14.25" customHeight="1" x14ac:dyDescent="0.25">
      <c r="A20" s="182" t="s">
        <v>240</v>
      </c>
      <c r="B20" s="11">
        <v>5000000</v>
      </c>
      <c r="C20" s="11">
        <v>1222280</v>
      </c>
      <c r="D20" s="11">
        <f t="shared" si="0"/>
        <v>3777720</v>
      </c>
      <c r="E20" s="11">
        <v>1135519</v>
      </c>
      <c r="F20" s="11">
        <f t="shared" si="1"/>
        <v>86761</v>
      </c>
      <c r="G20" s="12">
        <f t="shared" si="2"/>
        <v>0.24445600000000001</v>
      </c>
      <c r="H20" s="12">
        <f t="shared" si="3"/>
        <v>0.22710379999999999</v>
      </c>
    </row>
    <row r="21" spans="1:8" ht="14.25" customHeight="1" x14ac:dyDescent="0.25">
      <c r="A21" s="182" t="s">
        <v>241</v>
      </c>
      <c r="B21" s="11">
        <v>8530000</v>
      </c>
      <c r="C21" s="11">
        <v>6363689</v>
      </c>
      <c r="D21" s="11">
        <f t="shared" si="0"/>
        <v>2166311</v>
      </c>
      <c r="E21" s="11">
        <v>5777234</v>
      </c>
      <c r="F21" s="11">
        <f t="shared" si="1"/>
        <v>586455</v>
      </c>
      <c r="G21" s="12">
        <f t="shared" si="2"/>
        <v>0.746036225087925</v>
      </c>
      <c r="H21" s="12">
        <f t="shared" si="3"/>
        <v>0.67728417350527548</v>
      </c>
    </row>
    <row r="22" spans="1:8" ht="14.25" customHeight="1" x14ac:dyDescent="0.25">
      <c r="A22" s="182" t="s">
        <v>242</v>
      </c>
      <c r="B22" s="11">
        <v>3338186</v>
      </c>
      <c r="C22" s="11">
        <v>3338186</v>
      </c>
      <c r="D22" s="11">
        <f t="shared" si="0"/>
        <v>0</v>
      </c>
      <c r="E22" s="11">
        <v>3338186</v>
      </c>
      <c r="F22" s="11">
        <f t="shared" si="1"/>
        <v>0</v>
      </c>
      <c r="G22" s="12">
        <f t="shared" si="2"/>
        <v>1</v>
      </c>
      <c r="H22" s="12">
        <f t="shared" si="3"/>
        <v>1</v>
      </c>
    </row>
    <row r="23" spans="1:8" ht="14.25" customHeight="1" x14ac:dyDescent="0.25">
      <c r="A23" s="182" t="s">
        <v>243</v>
      </c>
      <c r="B23" s="11">
        <v>10035000</v>
      </c>
      <c r="C23" s="11">
        <v>10024250</v>
      </c>
      <c r="D23" s="11">
        <f t="shared" si="0"/>
        <v>10750</v>
      </c>
      <c r="E23" s="11">
        <v>10000000</v>
      </c>
      <c r="F23" s="11">
        <f t="shared" si="1"/>
        <v>24250</v>
      </c>
      <c r="G23" s="12">
        <f t="shared" si="2"/>
        <v>0.9989287493771799</v>
      </c>
      <c r="H23" s="12">
        <f t="shared" si="3"/>
        <v>0.99651220727453915</v>
      </c>
    </row>
    <row r="24" spans="1:8" ht="14.25" customHeight="1" x14ac:dyDescent="0.25">
      <c r="A24" s="182" t="s">
        <v>244</v>
      </c>
      <c r="B24" s="11">
        <v>450604</v>
      </c>
      <c r="C24" s="11">
        <v>450604</v>
      </c>
      <c r="D24" s="11">
        <f t="shared" si="0"/>
        <v>0</v>
      </c>
      <c r="E24" s="11">
        <v>450604</v>
      </c>
      <c r="F24" s="11">
        <f t="shared" si="1"/>
        <v>0</v>
      </c>
      <c r="G24" s="12">
        <f t="shared" si="2"/>
        <v>1</v>
      </c>
      <c r="H24" s="12">
        <f t="shared" si="3"/>
        <v>1</v>
      </c>
    </row>
    <row r="25" spans="1:8" ht="14.25" customHeight="1" x14ac:dyDescent="0.25">
      <c r="A25" s="182" t="s">
        <v>245</v>
      </c>
      <c r="B25" s="11">
        <v>64778867</v>
      </c>
      <c r="C25" s="11">
        <v>63171064</v>
      </c>
      <c r="D25" s="11">
        <f t="shared" si="0"/>
        <v>1607803</v>
      </c>
      <c r="E25" s="11">
        <v>59906170</v>
      </c>
      <c r="F25" s="11">
        <f t="shared" si="1"/>
        <v>3264894</v>
      </c>
      <c r="G25" s="12">
        <f t="shared" si="2"/>
        <v>0.97518013089052635</v>
      </c>
      <c r="H25" s="12">
        <f t="shared" si="3"/>
        <v>0.92477952724921852</v>
      </c>
    </row>
    <row r="26" spans="1:8" ht="14.25" customHeight="1" x14ac:dyDescent="0.25">
      <c r="A26" s="182" t="s">
        <v>246</v>
      </c>
      <c r="B26" s="11">
        <v>5583512</v>
      </c>
      <c r="C26" s="11">
        <v>1584036</v>
      </c>
      <c r="D26" s="11">
        <f t="shared" si="0"/>
        <v>3999476</v>
      </c>
      <c r="E26" s="11">
        <v>1584036</v>
      </c>
      <c r="F26" s="11">
        <f t="shared" si="1"/>
        <v>0</v>
      </c>
      <c r="G26" s="12">
        <f t="shared" si="2"/>
        <v>0.28369886193492555</v>
      </c>
      <c r="H26" s="12">
        <f t="shared" si="3"/>
        <v>0.28369886193492555</v>
      </c>
    </row>
    <row r="27" spans="1:8" ht="14.25" customHeight="1" x14ac:dyDescent="0.25">
      <c r="A27" s="182" t="s">
        <v>247</v>
      </c>
      <c r="B27" s="11">
        <v>3500000</v>
      </c>
      <c r="C27" s="11">
        <v>3400000</v>
      </c>
      <c r="D27" s="11">
        <f t="shared" si="0"/>
        <v>100000</v>
      </c>
      <c r="E27" s="11">
        <v>3400000</v>
      </c>
      <c r="F27" s="11">
        <f t="shared" si="1"/>
        <v>0</v>
      </c>
      <c r="G27" s="12">
        <f t="shared" si="2"/>
        <v>0.97142857142857142</v>
      </c>
      <c r="H27" s="12">
        <f t="shared" si="3"/>
        <v>0.97142857142857142</v>
      </c>
    </row>
    <row r="28" spans="1:8" ht="14.25" customHeight="1" x14ac:dyDescent="0.25">
      <c r="A28" s="182" t="s">
        <v>248</v>
      </c>
      <c r="B28" s="11">
        <v>374815475</v>
      </c>
      <c r="C28" s="11">
        <v>369351052</v>
      </c>
      <c r="D28" s="11">
        <f t="shared" si="0"/>
        <v>5464423</v>
      </c>
      <c r="E28" s="11">
        <v>336167938</v>
      </c>
      <c r="F28" s="11">
        <f t="shared" si="1"/>
        <v>33183114</v>
      </c>
      <c r="G28" s="12">
        <f t="shared" si="2"/>
        <v>0.98542103150890448</v>
      </c>
      <c r="H28" s="12">
        <f t="shared" si="3"/>
        <v>0.89688916392793017</v>
      </c>
    </row>
    <row r="29" spans="1:8" ht="14.25" customHeight="1" x14ac:dyDescent="0.25">
      <c r="A29" s="182" t="s">
        <v>249</v>
      </c>
      <c r="B29" s="11">
        <v>44368803</v>
      </c>
      <c r="C29" s="11">
        <v>43007838</v>
      </c>
      <c r="D29" s="11">
        <f t="shared" si="0"/>
        <v>1360965</v>
      </c>
      <c r="E29" s="11">
        <v>42852707</v>
      </c>
      <c r="F29" s="11">
        <f t="shared" si="1"/>
        <v>155131</v>
      </c>
      <c r="G29" s="12">
        <f t="shared" si="2"/>
        <v>0.96932608256301167</v>
      </c>
      <c r="H29" s="12">
        <f t="shared" si="3"/>
        <v>0.9658296844293951</v>
      </c>
    </row>
    <row r="30" spans="1:8" ht="14.25" customHeight="1" x14ac:dyDescent="0.25">
      <c r="A30" s="182" t="s">
        <v>250</v>
      </c>
      <c r="B30" s="11">
        <v>53904000</v>
      </c>
      <c r="C30" s="11">
        <v>49686692</v>
      </c>
      <c r="D30" s="11">
        <f t="shared" si="0"/>
        <v>4217308</v>
      </c>
      <c r="E30" s="11">
        <v>49686692</v>
      </c>
      <c r="F30" s="11">
        <f t="shared" si="1"/>
        <v>0</v>
      </c>
      <c r="G30" s="12">
        <f t="shared" si="2"/>
        <v>0.92176261501929357</v>
      </c>
      <c r="H30" s="12">
        <f t="shared" si="3"/>
        <v>0.92176261501929357</v>
      </c>
    </row>
    <row r="31" spans="1:8" ht="14.25" customHeight="1" x14ac:dyDescent="0.25">
      <c r="A31" s="182" t="s">
        <v>251</v>
      </c>
      <c r="B31" s="11">
        <v>37318900</v>
      </c>
      <c r="C31" s="11">
        <v>37292975</v>
      </c>
      <c r="D31" s="11">
        <f t="shared" si="0"/>
        <v>25925</v>
      </c>
      <c r="E31" s="11">
        <v>35509135</v>
      </c>
      <c r="F31" s="11">
        <f t="shared" si="1"/>
        <v>1783840</v>
      </c>
      <c r="G31" s="12">
        <f t="shared" si="2"/>
        <v>0.99930531178571713</v>
      </c>
      <c r="H31" s="12">
        <f t="shared" si="3"/>
        <v>0.95150540342828971</v>
      </c>
    </row>
    <row r="32" spans="1:8" ht="14.25" customHeight="1" x14ac:dyDescent="0.25">
      <c r="A32" s="182" t="s">
        <v>252</v>
      </c>
      <c r="B32" s="11">
        <v>117135399</v>
      </c>
      <c r="C32" s="11">
        <v>115606735</v>
      </c>
      <c r="D32" s="11">
        <f t="shared" si="0"/>
        <v>1528664</v>
      </c>
      <c r="E32" s="11">
        <v>111400168</v>
      </c>
      <c r="F32" s="11">
        <f t="shared" si="1"/>
        <v>4206567</v>
      </c>
      <c r="G32" s="12">
        <f t="shared" si="2"/>
        <v>0.98694959838741836</v>
      </c>
      <c r="H32" s="12">
        <f t="shared" si="3"/>
        <v>0.95103759368250418</v>
      </c>
    </row>
    <row r="33" spans="1:8" ht="14.25" customHeight="1" x14ac:dyDescent="0.25">
      <c r="A33" s="182" t="s">
        <v>253</v>
      </c>
      <c r="B33" s="11">
        <v>40239040</v>
      </c>
      <c r="C33" s="11">
        <v>37818861</v>
      </c>
      <c r="D33" s="11">
        <f t="shared" si="0"/>
        <v>2420179</v>
      </c>
      <c r="E33" s="11">
        <v>37802535</v>
      </c>
      <c r="F33" s="11">
        <f t="shared" si="1"/>
        <v>16326</v>
      </c>
      <c r="G33" s="12">
        <f t="shared" si="2"/>
        <v>0.93985495180799539</v>
      </c>
      <c r="H33" s="12">
        <f t="shared" si="3"/>
        <v>0.93944922642289674</v>
      </c>
    </row>
    <row r="34" spans="1:8" ht="14.25" customHeight="1" x14ac:dyDescent="0.25">
      <c r="A34" s="182" t="s">
        <v>254</v>
      </c>
      <c r="B34" s="11">
        <v>46035000</v>
      </c>
      <c r="C34" s="11">
        <v>45477849</v>
      </c>
      <c r="D34" s="11">
        <f t="shared" si="0"/>
        <v>557151</v>
      </c>
      <c r="E34" s="11">
        <v>45477849</v>
      </c>
      <c r="F34" s="11">
        <f t="shared" si="1"/>
        <v>0</v>
      </c>
      <c r="G34" s="12">
        <f t="shared" si="2"/>
        <v>0.9878972303681981</v>
      </c>
      <c r="H34" s="12">
        <f t="shared" si="3"/>
        <v>0.9878972303681981</v>
      </c>
    </row>
    <row r="35" spans="1:8" ht="14.25" customHeight="1" x14ac:dyDescent="0.25">
      <c r="A35" s="182" t="s">
        <v>255</v>
      </c>
      <c r="B35" s="11">
        <v>58562458</v>
      </c>
      <c r="C35" s="11">
        <v>58549200</v>
      </c>
      <c r="D35" s="11">
        <f t="shared" si="0"/>
        <v>13258</v>
      </c>
      <c r="E35" s="11">
        <v>58549200</v>
      </c>
      <c r="F35" s="11">
        <f t="shared" si="1"/>
        <v>0</v>
      </c>
      <c r="G35" s="12">
        <f t="shared" si="2"/>
        <v>0.99977360922931202</v>
      </c>
      <c r="H35" s="12">
        <f>+E35/B35</f>
        <v>0.99977360922931202</v>
      </c>
    </row>
    <row r="36" spans="1:8" ht="14.25" customHeight="1" x14ac:dyDescent="0.25">
      <c r="A36" s="182" t="s">
        <v>256</v>
      </c>
      <c r="B36" s="11">
        <v>113677135</v>
      </c>
      <c r="C36" s="11">
        <v>113649536</v>
      </c>
      <c r="D36" s="11">
        <f t="shared" si="0"/>
        <v>27599</v>
      </c>
      <c r="E36" s="11">
        <v>113607357</v>
      </c>
      <c r="F36" s="11">
        <f t="shared" si="1"/>
        <v>42179</v>
      </c>
      <c r="G36" s="12">
        <f t="shared" si="2"/>
        <v>0.9997572159080188</v>
      </c>
      <c r="H36" s="12">
        <f t="shared" si="3"/>
        <v>0.99938617383346262</v>
      </c>
    </row>
    <row r="37" spans="1:8" ht="14.25" customHeight="1" x14ac:dyDescent="0.25">
      <c r="A37" s="182" t="s">
        <v>257</v>
      </c>
      <c r="B37" s="11">
        <v>60270240</v>
      </c>
      <c r="C37" s="11">
        <v>59904920</v>
      </c>
      <c r="D37" s="11">
        <f t="shared" si="0"/>
        <v>365320</v>
      </c>
      <c r="E37" s="11">
        <v>59608835</v>
      </c>
      <c r="F37" s="11">
        <f t="shared" si="1"/>
        <v>296085</v>
      </c>
      <c r="G37" s="12">
        <f t="shared" si="2"/>
        <v>0.99393863372702684</v>
      </c>
      <c r="H37" s="12">
        <f t="shared" si="3"/>
        <v>0.98902601018346703</v>
      </c>
    </row>
    <row r="38" spans="1:8" ht="14.25" customHeight="1" x14ac:dyDescent="0.25">
      <c r="A38" s="182" t="s">
        <v>258</v>
      </c>
      <c r="B38" s="11">
        <v>50141445</v>
      </c>
      <c r="C38" s="11">
        <v>46873505</v>
      </c>
      <c r="D38" s="11">
        <f t="shared" si="0"/>
        <v>3267940</v>
      </c>
      <c r="E38" s="11">
        <v>46873505</v>
      </c>
      <c r="F38" s="11">
        <f t="shared" si="1"/>
        <v>0</v>
      </c>
      <c r="G38" s="12">
        <f t="shared" si="2"/>
        <v>0.93482557193954019</v>
      </c>
      <c r="H38" s="12">
        <f t="shared" si="3"/>
        <v>0.93482557193954019</v>
      </c>
    </row>
    <row r="39" spans="1:8" ht="14.25" customHeight="1" x14ac:dyDescent="0.25">
      <c r="A39" s="182" t="s">
        <v>259</v>
      </c>
      <c r="B39" s="11">
        <v>98348367</v>
      </c>
      <c r="C39" s="11">
        <v>98348367</v>
      </c>
      <c r="D39" s="11">
        <f t="shared" si="0"/>
        <v>0</v>
      </c>
      <c r="E39" s="11">
        <v>98348367</v>
      </c>
      <c r="F39" s="11">
        <f t="shared" si="1"/>
        <v>0</v>
      </c>
      <c r="G39" s="12">
        <f t="shared" si="2"/>
        <v>1</v>
      </c>
      <c r="H39" s="12">
        <f t="shared" si="3"/>
        <v>1</v>
      </c>
    </row>
    <row r="40" spans="1:8" ht="14.25" customHeight="1" x14ac:dyDescent="0.25">
      <c r="A40" s="182" t="s">
        <v>260</v>
      </c>
      <c r="B40" s="11">
        <v>43156000</v>
      </c>
      <c r="C40" s="11">
        <v>42340111</v>
      </c>
      <c r="D40" s="11">
        <f t="shared" si="0"/>
        <v>815889</v>
      </c>
      <c r="E40" s="11">
        <v>42340111</v>
      </c>
      <c r="F40" s="11">
        <f t="shared" si="1"/>
        <v>0</v>
      </c>
      <c r="G40" s="12">
        <f t="shared" si="2"/>
        <v>0.98109442487718979</v>
      </c>
      <c r="H40" s="12">
        <f t="shared" si="3"/>
        <v>0.98109442487718979</v>
      </c>
    </row>
    <row r="41" spans="1:8" ht="14.25" customHeight="1" x14ac:dyDescent="0.25">
      <c r="A41" s="182" t="s">
        <v>261</v>
      </c>
      <c r="B41" s="11">
        <v>17755042</v>
      </c>
      <c r="C41" s="11">
        <v>17525694</v>
      </c>
      <c r="D41" s="11">
        <f t="shared" si="0"/>
        <v>229348</v>
      </c>
      <c r="E41" s="11">
        <v>17525694</v>
      </c>
      <c r="F41" s="11">
        <f t="shared" si="1"/>
        <v>0</v>
      </c>
      <c r="G41" s="12">
        <f t="shared" si="2"/>
        <v>0.9870826551691626</v>
      </c>
      <c r="H41" s="12">
        <f t="shared" si="3"/>
        <v>0.9870826551691626</v>
      </c>
    </row>
    <row r="42" spans="1:8" ht="14.25" customHeight="1" x14ac:dyDescent="0.25">
      <c r="A42" s="182" t="s">
        <v>262</v>
      </c>
      <c r="B42" s="11">
        <v>59172747</v>
      </c>
      <c r="C42" s="11">
        <v>56360477</v>
      </c>
      <c r="D42" s="11">
        <f t="shared" si="0"/>
        <v>2812270</v>
      </c>
      <c r="E42" s="11">
        <v>56045725</v>
      </c>
      <c r="F42" s="11">
        <f t="shared" si="1"/>
        <v>314752</v>
      </c>
      <c r="G42" s="12">
        <f t="shared" si="2"/>
        <v>0.95247356016782525</v>
      </c>
      <c r="H42" s="12">
        <f t="shared" si="3"/>
        <v>0.94715435468966824</v>
      </c>
    </row>
    <row r="43" spans="1:8" ht="14.25" customHeight="1" x14ac:dyDescent="0.25">
      <c r="A43" s="182" t="s">
        <v>263</v>
      </c>
      <c r="B43" s="11">
        <v>51268800</v>
      </c>
      <c r="C43" s="11">
        <v>50051489</v>
      </c>
      <c r="D43" s="11">
        <f t="shared" si="0"/>
        <v>1217311</v>
      </c>
      <c r="E43" s="11">
        <v>50051489</v>
      </c>
      <c r="F43" s="11">
        <f t="shared" si="1"/>
        <v>0</v>
      </c>
      <c r="G43" s="12">
        <f t="shared" si="2"/>
        <v>0.97625630012795306</v>
      </c>
      <c r="H43" s="12">
        <f t="shared" si="3"/>
        <v>0.97625630012795306</v>
      </c>
    </row>
    <row r="44" spans="1:8" ht="14.25" customHeight="1" x14ac:dyDescent="0.25">
      <c r="A44" s="182" t="s">
        <v>264</v>
      </c>
      <c r="B44" s="11">
        <v>56107213</v>
      </c>
      <c r="C44" s="11">
        <v>55594993</v>
      </c>
      <c r="D44" s="11">
        <f t="shared" si="0"/>
        <v>512220</v>
      </c>
      <c r="E44" s="11">
        <v>55594993</v>
      </c>
      <c r="F44" s="11">
        <f t="shared" si="1"/>
        <v>0</v>
      </c>
      <c r="G44" s="12">
        <f t="shared" si="2"/>
        <v>0.99087069250793125</v>
      </c>
      <c r="H44" s="12">
        <f>+E44/B44</f>
        <v>0.99087069250793125</v>
      </c>
    </row>
    <row r="45" spans="1:8" ht="14.25" customHeight="1" x14ac:dyDescent="0.25">
      <c r="A45" s="182" t="s">
        <v>265</v>
      </c>
      <c r="B45" s="11">
        <f>SUM(B46:B62)</f>
        <v>57003579</v>
      </c>
      <c r="C45" s="11">
        <f>SUM(C46:C62)</f>
        <v>43770599</v>
      </c>
      <c r="D45" s="11">
        <f>SUM(D46:D62)</f>
        <v>13232980</v>
      </c>
      <c r="E45" s="11">
        <f>SUM(E46:E62)</f>
        <v>43602809</v>
      </c>
      <c r="F45" s="11">
        <f>SUM(F46:F62)</f>
        <v>167790</v>
      </c>
      <c r="G45" s="12">
        <f t="shared" si="2"/>
        <v>0.76785703227511382</v>
      </c>
      <c r="H45" s="12">
        <f t="shared" ref="H45:H62" si="4">+E45/B45</f>
        <v>0.76491353288536501</v>
      </c>
    </row>
    <row r="46" spans="1:8" ht="14.25" customHeight="1" outlineLevel="1" x14ac:dyDescent="0.25">
      <c r="A46" s="183" t="s">
        <v>249</v>
      </c>
      <c r="B46" s="184">
        <v>1423780</v>
      </c>
      <c r="C46" s="184">
        <v>1423780</v>
      </c>
      <c r="D46" s="184">
        <f>+B46-C46</f>
        <v>0</v>
      </c>
      <c r="E46" s="184">
        <v>1423780</v>
      </c>
      <c r="F46" s="184">
        <f>+C46-E46</f>
        <v>0</v>
      </c>
      <c r="G46" s="12">
        <f t="shared" si="2"/>
        <v>1</v>
      </c>
      <c r="H46" s="12">
        <f t="shared" si="4"/>
        <v>1</v>
      </c>
    </row>
    <row r="47" spans="1:8" ht="14.25" customHeight="1" outlineLevel="1" x14ac:dyDescent="0.25">
      <c r="A47" s="183" t="s">
        <v>250</v>
      </c>
      <c r="B47" s="184">
        <v>5052000</v>
      </c>
      <c r="C47" s="184">
        <v>4329701</v>
      </c>
      <c r="D47" s="184">
        <f t="shared" ref="D47:D62" si="5">+B47-C47</f>
        <v>722299</v>
      </c>
      <c r="E47" s="184">
        <v>4329701</v>
      </c>
      <c r="F47" s="184">
        <f t="shared" ref="F47:F62" si="6">+C47-E47</f>
        <v>0</v>
      </c>
      <c r="G47" s="12">
        <f t="shared" si="2"/>
        <v>0.85702711797307995</v>
      </c>
      <c r="H47" s="12">
        <f t="shared" si="4"/>
        <v>0.85702711797307995</v>
      </c>
    </row>
    <row r="48" spans="1:8" ht="14.25" customHeight="1" outlineLevel="1" x14ac:dyDescent="0.25">
      <c r="A48" s="183" t="s">
        <v>251</v>
      </c>
      <c r="B48" s="184">
        <v>1726100</v>
      </c>
      <c r="C48" s="184">
        <v>1696185</v>
      </c>
      <c r="D48" s="184">
        <f t="shared" si="5"/>
        <v>29915</v>
      </c>
      <c r="E48" s="184">
        <v>1696185</v>
      </c>
      <c r="F48" s="184">
        <f t="shared" si="6"/>
        <v>0</v>
      </c>
      <c r="G48" s="12">
        <f t="shared" si="2"/>
        <v>0.98266902265222178</v>
      </c>
      <c r="H48" s="12">
        <f t="shared" si="4"/>
        <v>0.98266902265222178</v>
      </c>
    </row>
    <row r="49" spans="1:8" ht="14.25" customHeight="1" outlineLevel="1" x14ac:dyDescent="0.25">
      <c r="A49" s="183" t="s">
        <v>252</v>
      </c>
      <c r="B49" s="184">
        <v>4128000</v>
      </c>
      <c r="C49" s="184">
        <v>3339383</v>
      </c>
      <c r="D49" s="184">
        <f t="shared" si="5"/>
        <v>788617</v>
      </c>
      <c r="E49" s="184">
        <v>3339383</v>
      </c>
      <c r="F49" s="184">
        <f t="shared" si="6"/>
        <v>0</v>
      </c>
      <c r="G49" s="12">
        <f t="shared" si="2"/>
        <v>0.80895906007751939</v>
      </c>
      <c r="H49" s="12">
        <f t="shared" si="4"/>
        <v>0.80895906007751939</v>
      </c>
    </row>
    <row r="50" spans="1:8" ht="14.25" customHeight="1" outlineLevel="1" x14ac:dyDescent="0.25">
      <c r="A50" s="183" t="s">
        <v>253</v>
      </c>
      <c r="B50" s="184">
        <v>99960</v>
      </c>
      <c r="C50" s="184">
        <v>99960</v>
      </c>
      <c r="D50" s="184">
        <f t="shared" si="5"/>
        <v>0</v>
      </c>
      <c r="E50" s="184">
        <v>99960</v>
      </c>
      <c r="F50" s="184">
        <f t="shared" si="6"/>
        <v>0</v>
      </c>
      <c r="G50" s="12">
        <f t="shared" si="2"/>
        <v>1</v>
      </c>
      <c r="H50" s="12">
        <f t="shared" si="4"/>
        <v>1</v>
      </c>
    </row>
    <row r="51" spans="1:8" ht="14.25" customHeight="1" outlineLevel="1" x14ac:dyDescent="0.25">
      <c r="A51" s="183" t="s">
        <v>254</v>
      </c>
      <c r="B51" s="184">
        <v>579000</v>
      </c>
      <c r="C51" s="184">
        <v>539963</v>
      </c>
      <c r="D51" s="184">
        <f t="shared" si="5"/>
        <v>39037</v>
      </c>
      <c r="E51" s="184">
        <v>539963</v>
      </c>
      <c r="F51" s="184">
        <f t="shared" si="6"/>
        <v>0</v>
      </c>
      <c r="G51" s="12">
        <f t="shared" si="2"/>
        <v>0.93257858376511227</v>
      </c>
      <c r="H51" s="12">
        <f t="shared" si="4"/>
        <v>0.93257858376511227</v>
      </c>
    </row>
    <row r="52" spans="1:8" ht="14.25" customHeight="1" outlineLevel="1" x14ac:dyDescent="0.25">
      <c r="A52" s="183" t="s">
        <v>255</v>
      </c>
      <c r="B52" s="184">
        <v>5900000</v>
      </c>
      <c r="C52" s="184">
        <v>5900000</v>
      </c>
      <c r="D52" s="184">
        <f t="shared" si="5"/>
        <v>0</v>
      </c>
      <c r="E52" s="184">
        <v>5900000</v>
      </c>
      <c r="F52" s="184">
        <f t="shared" si="6"/>
        <v>0</v>
      </c>
      <c r="G52" s="12">
        <f t="shared" si="2"/>
        <v>1</v>
      </c>
      <c r="H52" s="12">
        <f t="shared" si="4"/>
        <v>1</v>
      </c>
    </row>
    <row r="53" spans="1:8" ht="14.25" customHeight="1" outlineLevel="1" x14ac:dyDescent="0.25">
      <c r="A53" s="183" t="s">
        <v>256</v>
      </c>
      <c r="B53" s="184">
        <v>872865</v>
      </c>
      <c r="C53" s="184">
        <v>872865</v>
      </c>
      <c r="D53" s="184">
        <f t="shared" si="5"/>
        <v>0</v>
      </c>
      <c r="E53" s="184">
        <v>872865</v>
      </c>
      <c r="F53" s="184">
        <f t="shared" si="6"/>
        <v>0</v>
      </c>
      <c r="G53" s="12">
        <f t="shared" si="2"/>
        <v>1</v>
      </c>
      <c r="H53" s="12">
        <f t="shared" si="4"/>
        <v>1</v>
      </c>
    </row>
    <row r="54" spans="1:8" ht="14.25" customHeight="1" outlineLevel="1" x14ac:dyDescent="0.25">
      <c r="A54" s="183" t="s">
        <v>257</v>
      </c>
      <c r="B54" s="184">
        <v>3952000</v>
      </c>
      <c r="C54" s="184">
        <v>1314355</v>
      </c>
      <c r="D54" s="184">
        <f t="shared" si="5"/>
        <v>2637645</v>
      </c>
      <c r="E54" s="184">
        <v>1146565</v>
      </c>
      <c r="F54" s="184">
        <f t="shared" si="6"/>
        <v>167790</v>
      </c>
      <c r="G54" s="12">
        <f t="shared" si="2"/>
        <v>0.33257970647773277</v>
      </c>
      <c r="H54" s="12">
        <f t="shared" si="4"/>
        <v>0.29012272267206479</v>
      </c>
    </row>
    <row r="55" spans="1:8" ht="14.25" customHeight="1" outlineLevel="1" x14ac:dyDescent="0.25">
      <c r="A55" s="183" t="s">
        <v>258</v>
      </c>
      <c r="B55" s="184">
        <v>8925000</v>
      </c>
      <c r="C55" s="184">
        <v>8677084</v>
      </c>
      <c r="D55" s="184">
        <f t="shared" si="5"/>
        <v>247916</v>
      </c>
      <c r="E55" s="184">
        <v>8677084</v>
      </c>
      <c r="F55" s="184">
        <f t="shared" si="6"/>
        <v>0</v>
      </c>
      <c r="G55" s="12">
        <f t="shared" si="2"/>
        <v>0.97222229691876749</v>
      </c>
      <c r="H55" s="12">
        <f t="shared" si="4"/>
        <v>0.97222229691876749</v>
      </c>
    </row>
    <row r="56" spans="1:8" ht="14.25" customHeight="1" outlineLevel="1" x14ac:dyDescent="0.25">
      <c r="A56" s="183" t="s">
        <v>259</v>
      </c>
      <c r="B56" s="184">
        <v>1100367</v>
      </c>
      <c r="C56" s="184">
        <v>1100367</v>
      </c>
      <c r="D56" s="184">
        <f t="shared" si="5"/>
        <v>0</v>
      </c>
      <c r="E56" s="184">
        <v>1100367</v>
      </c>
      <c r="F56" s="184">
        <f t="shared" si="6"/>
        <v>0</v>
      </c>
      <c r="G56" s="12">
        <f t="shared" si="2"/>
        <v>1</v>
      </c>
      <c r="H56" s="12">
        <f t="shared" si="4"/>
        <v>1</v>
      </c>
    </row>
    <row r="57" spans="1:8" ht="14.25" customHeight="1" outlineLevel="1" x14ac:dyDescent="0.25">
      <c r="A57" s="183" t="s">
        <v>260</v>
      </c>
      <c r="B57" s="184">
        <v>671104</v>
      </c>
      <c r="C57" s="184">
        <v>671104</v>
      </c>
      <c r="D57" s="184">
        <f t="shared" si="5"/>
        <v>0</v>
      </c>
      <c r="E57" s="184">
        <v>671104</v>
      </c>
      <c r="F57" s="184">
        <f t="shared" si="6"/>
        <v>0</v>
      </c>
      <c r="G57" s="12">
        <f t="shared" si="2"/>
        <v>1</v>
      </c>
      <c r="H57" s="12">
        <f t="shared" si="4"/>
        <v>1</v>
      </c>
    </row>
    <row r="58" spans="1:8" ht="14.25" customHeight="1" outlineLevel="1" x14ac:dyDescent="0.25">
      <c r="A58" s="183" t="s">
        <v>261</v>
      </c>
      <c r="B58" s="184">
        <v>7167353</v>
      </c>
      <c r="C58" s="184">
        <v>7124561</v>
      </c>
      <c r="D58" s="184">
        <f t="shared" si="5"/>
        <v>42792</v>
      </c>
      <c r="E58" s="184">
        <v>7124561</v>
      </c>
      <c r="F58" s="184">
        <f t="shared" si="6"/>
        <v>0</v>
      </c>
      <c r="G58" s="12">
        <f t="shared" si="2"/>
        <v>0.99402959502622512</v>
      </c>
      <c r="H58" s="12">
        <f t="shared" si="4"/>
        <v>0.99402959502622512</v>
      </c>
    </row>
    <row r="59" spans="1:8" ht="14.25" customHeight="1" outlineLevel="1" x14ac:dyDescent="0.25">
      <c r="A59" s="183" t="s">
        <v>262</v>
      </c>
      <c r="B59" s="184">
        <v>1000000</v>
      </c>
      <c r="C59" s="184">
        <v>163030</v>
      </c>
      <c r="D59" s="184">
        <f t="shared" si="5"/>
        <v>836970</v>
      </c>
      <c r="E59" s="184">
        <v>163030</v>
      </c>
      <c r="F59" s="184">
        <f t="shared" si="6"/>
        <v>0</v>
      </c>
      <c r="G59" s="12">
        <f t="shared" si="2"/>
        <v>0.16303000000000001</v>
      </c>
      <c r="H59" s="12">
        <f t="shared" si="4"/>
        <v>0.16303000000000001</v>
      </c>
    </row>
    <row r="60" spans="1:8" ht="14.25" customHeight="1" outlineLevel="1" x14ac:dyDescent="0.25">
      <c r="A60" s="183" t="s">
        <v>263</v>
      </c>
      <c r="B60" s="184">
        <v>542200</v>
      </c>
      <c r="C60" s="184">
        <v>542200</v>
      </c>
      <c r="D60" s="184">
        <f t="shared" si="5"/>
        <v>0</v>
      </c>
      <c r="E60" s="184">
        <v>542200</v>
      </c>
      <c r="F60" s="184">
        <f t="shared" si="6"/>
        <v>0</v>
      </c>
      <c r="G60" s="12">
        <f t="shared" si="2"/>
        <v>1</v>
      </c>
      <c r="H60" s="12">
        <f t="shared" si="4"/>
        <v>1</v>
      </c>
    </row>
    <row r="61" spans="1:8" ht="14.25" customHeight="1" outlineLevel="1" x14ac:dyDescent="0.25">
      <c r="A61" s="183" t="s">
        <v>264</v>
      </c>
      <c r="B61" s="184">
        <v>1017850</v>
      </c>
      <c r="C61" s="184">
        <v>600950</v>
      </c>
      <c r="D61" s="184">
        <f t="shared" si="5"/>
        <v>416900</v>
      </c>
      <c r="E61" s="184">
        <v>600950</v>
      </c>
      <c r="F61" s="184">
        <f t="shared" si="6"/>
        <v>0</v>
      </c>
      <c r="G61" s="12">
        <f t="shared" si="2"/>
        <v>0.59041116078007561</v>
      </c>
      <c r="H61" s="12">
        <f t="shared" si="4"/>
        <v>0.59041116078007561</v>
      </c>
    </row>
    <row r="62" spans="1:8" ht="14.25" customHeight="1" outlineLevel="1" x14ac:dyDescent="0.25">
      <c r="A62" s="183" t="s">
        <v>266</v>
      </c>
      <c r="B62" s="184">
        <v>12846000</v>
      </c>
      <c r="C62" s="184">
        <v>5375111</v>
      </c>
      <c r="D62" s="184">
        <f t="shared" si="5"/>
        <v>7470889</v>
      </c>
      <c r="E62" s="184">
        <v>5375111</v>
      </c>
      <c r="F62" s="184">
        <f t="shared" si="6"/>
        <v>0</v>
      </c>
      <c r="G62" s="12">
        <f t="shared" si="2"/>
        <v>0.41842682547096371</v>
      </c>
      <c r="H62" s="12">
        <f t="shared" si="4"/>
        <v>0.41842682547096371</v>
      </c>
    </row>
    <row r="63" spans="1:8" ht="14.25" customHeight="1" x14ac:dyDescent="0.25">
      <c r="A63" s="185" t="s">
        <v>267</v>
      </c>
      <c r="B63" s="186">
        <f>SUM(B6:B45)</f>
        <v>4143817000</v>
      </c>
      <c r="C63" s="186">
        <f>SUM(C6:C45)</f>
        <v>3950020970</v>
      </c>
      <c r="D63" s="186">
        <f>SUM(D6:D45)</f>
        <v>193796030</v>
      </c>
      <c r="E63" s="186">
        <f>SUM(E6:E45)</f>
        <v>3869753634</v>
      </c>
      <c r="F63" s="186">
        <f>SUM(F6:F45)</f>
        <v>80267336</v>
      </c>
      <c r="G63" s="26">
        <f t="shared" si="2"/>
        <v>0.95323248348081013</v>
      </c>
      <c r="H63" s="26">
        <f t="shared" si="3"/>
        <v>0.93386209719203328</v>
      </c>
    </row>
  </sheetData>
  <mergeCells count="2">
    <mergeCell ref="A2:H2"/>
    <mergeCell ref="A3:H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</sheetPr>
  <dimension ref="B4:R48"/>
  <sheetViews>
    <sheetView topLeftCell="C22" workbookViewId="0">
      <selection activeCell="B35" sqref="B35:R48"/>
    </sheetView>
  </sheetViews>
  <sheetFormatPr baseColWidth="10" defaultRowHeight="15" x14ac:dyDescent="0.25"/>
  <cols>
    <col min="3" max="3" width="29" bestFit="1" customWidth="1"/>
    <col min="4" max="4" width="14.28515625" hidden="1" customWidth="1"/>
    <col min="5" max="5" width="11.42578125" hidden="1" customWidth="1"/>
    <col min="6" max="6" width="12.7109375" hidden="1" customWidth="1"/>
    <col min="7" max="12" width="11.42578125" hidden="1" customWidth="1"/>
  </cols>
  <sheetData>
    <row r="4" spans="2:18" ht="15" customHeight="1" x14ac:dyDescent="0.25">
      <c r="B4" s="250" t="s">
        <v>125</v>
      </c>
      <c r="C4" s="250" t="s">
        <v>126</v>
      </c>
      <c r="D4" s="244" t="s">
        <v>275</v>
      </c>
      <c r="E4" s="245"/>
      <c r="F4" s="246"/>
      <c r="G4" s="244" t="s">
        <v>276</v>
      </c>
      <c r="H4" s="245"/>
      <c r="I4" s="246"/>
      <c r="J4" s="244" t="s">
        <v>29</v>
      </c>
      <c r="K4" s="245"/>
      <c r="L4" s="246"/>
      <c r="P4" s="193"/>
      <c r="Q4" s="193"/>
      <c r="R4" s="193"/>
    </row>
    <row r="5" spans="2:18" ht="15" customHeight="1" x14ac:dyDescent="0.25">
      <c r="B5" s="254"/>
      <c r="C5" s="254"/>
      <c r="D5" s="247" t="s">
        <v>120</v>
      </c>
      <c r="E5" s="248"/>
      <c r="F5" s="249"/>
      <c r="G5" s="247" t="s">
        <v>127</v>
      </c>
      <c r="H5" s="248"/>
      <c r="I5" s="249"/>
      <c r="J5" s="247" t="s">
        <v>120</v>
      </c>
      <c r="K5" s="248"/>
      <c r="L5" s="249"/>
      <c r="P5" s="193"/>
      <c r="Q5" s="193"/>
      <c r="R5" s="193"/>
    </row>
    <row r="6" spans="2:18" ht="15" customHeight="1" x14ac:dyDescent="0.25">
      <c r="B6" s="254"/>
      <c r="C6" s="254"/>
      <c r="D6" s="250" t="s">
        <v>2</v>
      </c>
      <c r="E6" s="250" t="s">
        <v>124</v>
      </c>
      <c r="F6" s="122" t="s">
        <v>128</v>
      </c>
      <c r="G6" s="250" t="s">
        <v>2</v>
      </c>
      <c r="H6" s="250" t="s">
        <v>124</v>
      </c>
      <c r="I6" s="122" t="s">
        <v>128</v>
      </c>
      <c r="J6" s="250" t="s">
        <v>2</v>
      </c>
      <c r="K6" s="250" t="s">
        <v>124</v>
      </c>
      <c r="L6" s="122" t="s">
        <v>128</v>
      </c>
      <c r="P6" s="193"/>
      <c r="Q6" s="193"/>
      <c r="R6" s="193"/>
    </row>
    <row r="7" spans="2:18" x14ac:dyDescent="0.25">
      <c r="B7" s="251"/>
      <c r="C7" s="251"/>
      <c r="D7" s="251"/>
      <c r="E7" s="251"/>
      <c r="F7" s="123" t="s">
        <v>124</v>
      </c>
      <c r="G7" s="251"/>
      <c r="H7" s="251"/>
      <c r="I7" s="123" t="s">
        <v>124</v>
      </c>
      <c r="J7" s="251"/>
      <c r="K7" s="251"/>
      <c r="L7" s="123" t="s">
        <v>124</v>
      </c>
      <c r="P7" s="193"/>
      <c r="Q7" s="193"/>
      <c r="R7" s="193"/>
    </row>
    <row r="8" spans="2:18" x14ac:dyDescent="0.25">
      <c r="B8" s="124">
        <v>21</v>
      </c>
      <c r="C8" s="125" t="s">
        <v>9</v>
      </c>
      <c r="D8" s="126">
        <f>+'01-01'!C28</f>
        <v>26579495</v>
      </c>
      <c r="E8" s="126">
        <f>+'01-01'!F28</f>
        <v>3045652</v>
      </c>
      <c r="F8" s="128">
        <f>E8/D8</f>
        <v>0.11458652619246529</v>
      </c>
      <c r="G8" s="126">
        <f>+'01-02'!C15</f>
        <v>3889773</v>
      </c>
      <c r="H8" s="126">
        <f>+'01-02'!F15</f>
        <v>311605</v>
      </c>
      <c r="I8" s="130">
        <f>H8/G8</f>
        <v>8.010878783929036E-2</v>
      </c>
      <c r="J8" s="190">
        <f>+D8+G8</f>
        <v>30469268</v>
      </c>
      <c r="K8" s="190">
        <f>+E8+H8</f>
        <v>3357257</v>
      </c>
      <c r="L8" s="130">
        <f>+K8/J8</f>
        <v>0.11018502315185255</v>
      </c>
      <c r="P8" s="194"/>
      <c r="Q8" s="194"/>
      <c r="R8" s="194"/>
    </row>
    <row r="9" spans="2:18" x14ac:dyDescent="0.25">
      <c r="B9" s="124">
        <v>22</v>
      </c>
      <c r="C9" s="125" t="s">
        <v>16</v>
      </c>
      <c r="D9" s="126">
        <f>+'01-01'!C37</f>
        <v>5334134</v>
      </c>
      <c r="E9" s="126">
        <f>+'01-01'!F37</f>
        <v>480623</v>
      </c>
      <c r="F9" s="128">
        <f t="shared" ref="F9:F18" si="0">E9/D9</f>
        <v>9.0103285744227643E-2</v>
      </c>
      <c r="G9" s="126">
        <f>+'01-02'!C24</f>
        <v>298308</v>
      </c>
      <c r="H9" s="126">
        <f>+'01-02'!F24</f>
        <v>2164</v>
      </c>
      <c r="I9" s="130">
        <f>H9/G9</f>
        <v>7.2542472880378671E-3</v>
      </c>
      <c r="J9" s="190">
        <f t="shared" ref="J9:J17" si="1">+D9+G9</f>
        <v>5632442</v>
      </c>
      <c r="K9" s="190">
        <f t="shared" ref="K9:K17" si="2">+E9+H9</f>
        <v>482787</v>
      </c>
      <c r="L9" s="130">
        <f t="shared" ref="L9:L17" si="3">+K9/J9</f>
        <v>8.5715396625477905E-2</v>
      </c>
      <c r="P9" s="194"/>
      <c r="Q9" s="194"/>
      <c r="R9" s="194"/>
    </row>
    <row r="10" spans="2:18" x14ac:dyDescent="0.25">
      <c r="B10" s="124">
        <v>23</v>
      </c>
      <c r="C10" s="125" t="s">
        <v>31</v>
      </c>
      <c r="D10" s="126">
        <f>+'01-01'!C38</f>
        <v>10</v>
      </c>
      <c r="E10" s="190">
        <f>+'01-01'!F38</f>
        <v>0</v>
      </c>
      <c r="F10" s="128">
        <f t="shared" si="0"/>
        <v>0</v>
      </c>
      <c r="G10" s="190">
        <v>0</v>
      </c>
      <c r="H10" s="190">
        <v>0</v>
      </c>
      <c r="I10" s="130" t="s">
        <v>111</v>
      </c>
      <c r="J10" s="190">
        <f t="shared" si="1"/>
        <v>10</v>
      </c>
      <c r="K10" s="190">
        <f t="shared" si="2"/>
        <v>0</v>
      </c>
      <c r="L10" s="130">
        <f t="shared" si="3"/>
        <v>0</v>
      </c>
      <c r="P10" s="194"/>
      <c r="Q10" s="194"/>
      <c r="R10" s="194"/>
    </row>
    <row r="11" spans="2:18" x14ac:dyDescent="0.25">
      <c r="B11" s="124">
        <v>24</v>
      </c>
      <c r="C11" s="125" t="s">
        <v>32</v>
      </c>
      <c r="D11" s="126">
        <f>+'01-01'!C39</f>
        <v>77950400</v>
      </c>
      <c r="E11" s="126">
        <f>+'01-01'!F39</f>
        <v>1457357</v>
      </c>
      <c r="F11" s="128">
        <f t="shared" si="0"/>
        <v>1.8695952811018289E-2</v>
      </c>
      <c r="G11" s="126">
        <f>+'01-02'!C25</f>
        <v>46646627</v>
      </c>
      <c r="H11" s="126">
        <f>+'01-02'!F25</f>
        <v>5452527</v>
      </c>
      <c r="I11" s="130">
        <f t="shared" ref="I11:I17" si="4">H11/G11</f>
        <v>0.11689005938199991</v>
      </c>
      <c r="J11" s="190">
        <f t="shared" si="1"/>
        <v>124597027</v>
      </c>
      <c r="K11" s="190">
        <f t="shared" si="2"/>
        <v>6909884</v>
      </c>
      <c r="L11" s="130">
        <f t="shared" si="3"/>
        <v>5.5457856149328508E-2</v>
      </c>
      <c r="P11" s="194"/>
      <c r="Q11" s="194"/>
      <c r="R11" s="194"/>
    </row>
    <row r="12" spans="2:18" x14ac:dyDescent="0.25">
      <c r="B12" s="124">
        <v>25</v>
      </c>
      <c r="C12" s="125" t="s">
        <v>70</v>
      </c>
      <c r="D12" s="126">
        <f>+'01-01'!C66</f>
        <v>744</v>
      </c>
      <c r="E12" s="190">
        <f>+'01-01'!F66</f>
        <v>0</v>
      </c>
      <c r="F12" s="128">
        <f t="shared" si="0"/>
        <v>0</v>
      </c>
      <c r="G12" s="190">
        <v>0</v>
      </c>
      <c r="H12" s="190">
        <v>0</v>
      </c>
      <c r="I12" s="130" t="s">
        <v>111</v>
      </c>
      <c r="J12" s="190">
        <f t="shared" si="1"/>
        <v>744</v>
      </c>
      <c r="K12" s="190">
        <f t="shared" si="2"/>
        <v>0</v>
      </c>
      <c r="L12" s="130">
        <f t="shared" si="3"/>
        <v>0</v>
      </c>
      <c r="P12" s="194"/>
      <c r="Q12" s="194"/>
      <c r="R12" s="194"/>
    </row>
    <row r="13" spans="2:18" x14ac:dyDescent="0.25">
      <c r="B13" s="124">
        <v>29</v>
      </c>
      <c r="C13" s="125" t="s">
        <v>129</v>
      </c>
      <c r="D13" s="126">
        <f>+'01-01'!C67</f>
        <v>988324</v>
      </c>
      <c r="E13" s="126">
        <f>+'01-01'!F67</f>
        <v>547</v>
      </c>
      <c r="F13" s="128">
        <f t="shared" si="0"/>
        <v>5.5346222493838054E-4</v>
      </c>
      <c r="G13" s="190">
        <v>0</v>
      </c>
      <c r="H13" s="190">
        <v>0</v>
      </c>
      <c r="I13" s="130" t="s">
        <v>111</v>
      </c>
      <c r="J13" s="190">
        <f t="shared" si="1"/>
        <v>988324</v>
      </c>
      <c r="K13" s="190">
        <f t="shared" si="2"/>
        <v>547</v>
      </c>
      <c r="L13" s="130">
        <f t="shared" si="3"/>
        <v>5.5346222493838054E-4</v>
      </c>
      <c r="P13" s="194"/>
      <c r="Q13" s="194"/>
      <c r="R13" s="194"/>
    </row>
    <row r="14" spans="2:18" hidden="1" x14ac:dyDescent="0.25">
      <c r="B14" s="124">
        <v>30</v>
      </c>
      <c r="C14" s="125" t="s">
        <v>217</v>
      </c>
      <c r="D14" s="126"/>
      <c r="E14" s="126"/>
      <c r="F14" s="128" t="e">
        <f t="shared" si="0"/>
        <v>#DIV/0!</v>
      </c>
      <c r="G14" s="190"/>
      <c r="H14" s="190"/>
      <c r="I14" s="130" t="e">
        <f t="shared" si="4"/>
        <v>#DIV/0!</v>
      </c>
      <c r="J14" s="190">
        <f t="shared" si="1"/>
        <v>0</v>
      </c>
      <c r="K14" s="190">
        <f t="shared" si="2"/>
        <v>0</v>
      </c>
      <c r="L14" s="130" t="e">
        <f t="shared" si="3"/>
        <v>#DIV/0!</v>
      </c>
      <c r="P14" s="194"/>
      <c r="Q14" s="194"/>
      <c r="R14" s="194"/>
    </row>
    <row r="15" spans="2:18" x14ac:dyDescent="0.25">
      <c r="B15" s="124">
        <v>31</v>
      </c>
      <c r="C15" s="125" t="s">
        <v>130</v>
      </c>
      <c r="D15" s="126">
        <f>+'01-01'!C73</f>
        <v>1612194</v>
      </c>
      <c r="E15" s="190">
        <f>+'01-01'!F73</f>
        <v>0</v>
      </c>
      <c r="F15" s="128">
        <f t="shared" si="0"/>
        <v>0</v>
      </c>
      <c r="G15" s="190">
        <v>0</v>
      </c>
      <c r="H15" s="190">
        <v>0</v>
      </c>
      <c r="I15" s="130" t="s">
        <v>111</v>
      </c>
      <c r="J15" s="190">
        <f t="shared" si="1"/>
        <v>1612194</v>
      </c>
      <c r="K15" s="190">
        <f t="shared" si="2"/>
        <v>0</v>
      </c>
      <c r="L15" s="130">
        <f t="shared" si="3"/>
        <v>0</v>
      </c>
      <c r="P15" s="194"/>
      <c r="Q15" s="194"/>
      <c r="R15" s="194"/>
    </row>
    <row r="16" spans="2:18" x14ac:dyDescent="0.25">
      <c r="B16" s="124">
        <v>33</v>
      </c>
      <c r="C16" s="125" t="s">
        <v>74</v>
      </c>
      <c r="D16" s="126">
        <f>+'01-01'!C75</f>
        <v>5492735</v>
      </c>
      <c r="E16" s="190">
        <f>+'01-01'!F75</f>
        <v>0</v>
      </c>
      <c r="F16" s="128">
        <f t="shared" si="0"/>
        <v>0</v>
      </c>
      <c r="G16" s="190">
        <v>0</v>
      </c>
      <c r="H16" s="190">
        <v>0</v>
      </c>
      <c r="I16" s="130" t="s">
        <v>111</v>
      </c>
      <c r="J16" s="190">
        <f t="shared" si="1"/>
        <v>5492735</v>
      </c>
      <c r="K16" s="190">
        <f t="shared" si="2"/>
        <v>0</v>
      </c>
      <c r="L16" s="130">
        <f t="shared" si="3"/>
        <v>0</v>
      </c>
      <c r="P16" s="194"/>
      <c r="Q16" s="194"/>
      <c r="R16" s="194"/>
    </row>
    <row r="17" spans="2:18" x14ac:dyDescent="0.25">
      <c r="B17" s="124">
        <v>34</v>
      </c>
      <c r="C17" s="125" t="s">
        <v>78</v>
      </c>
      <c r="D17" s="126">
        <f>+'01-01'!C78</f>
        <v>10</v>
      </c>
      <c r="E17" s="126">
        <f>+'01-01'!F78</f>
        <v>14805424</v>
      </c>
      <c r="F17" s="128">
        <f t="shared" si="0"/>
        <v>1480542.4</v>
      </c>
      <c r="G17" s="126">
        <f>+'01-02'!C34</f>
        <v>10</v>
      </c>
      <c r="H17" s="126">
        <f>+'01-02'!F34</f>
        <v>2565475</v>
      </c>
      <c r="I17" s="130">
        <f t="shared" si="4"/>
        <v>256547.5</v>
      </c>
      <c r="J17" s="190">
        <f t="shared" si="1"/>
        <v>20</v>
      </c>
      <c r="K17" s="190">
        <f t="shared" si="2"/>
        <v>17370899</v>
      </c>
      <c r="L17" s="130">
        <f t="shared" si="3"/>
        <v>868544.95</v>
      </c>
      <c r="P17" s="194"/>
      <c r="Q17" s="194"/>
      <c r="R17" s="194"/>
    </row>
    <row r="18" spans="2:18" x14ac:dyDescent="0.25">
      <c r="B18" s="252" t="s">
        <v>91</v>
      </c>
      <c r="C18" s="253"/>
      <c r="D18" s="127">
        <f>SUM(D8:D17)</f>
        <v>117958046</v>
      </c>
      <c r="E18" s="127">
        <f>SUM(E8:E17)</f>
        <v>19789603</v>
      </c>
      <c r="F18" s="131">
        <f t="shared" si="0"/>
        <v>0.16776814868567763</v>
      </c>
      <c r="G18" s="127">
        <f>SUM(G8:G17)</f>
        <v>50834718</v>
      </c>
      <c r="H18" s="127">
        <f>SUM(H8:H17)</f>
        <v>8331771</v>
      </c>
      <c r="I18" s="131">
        <f>H18/G18</f>
        <v>0.16389922729580206</v>
      </c>
      <c r="J18" s="127">
        <f>SUM(J8:J17)</f>
        <v>168792764</v>
      </c>
      <c r="K18" s="127">
        <f>SUM(K8:K17)</f>
        <v>28121374</v>
      </c>
      <c r="L18" s="131">
        <f>K18/J18</f>
        <v>0.16660295935434768</v>
      </c>
      <c r="P18" s="195"/>
      <c r="Q18" s="195"/>
      <c r="R18" s="195"/>
    </row>
    <row r="19" spans="2:18" x14ac:dyDescent="0.25"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</row>
    <row r="22" spans="2:18" x14ac:dyDescent="0.25">
      <c r="B22" s="250" t="s">
        <v>125</v>
      </c>
      <c r="C22" s="250" t="s">
        <v>126</v>
      </c>
      <c r="D22" s="244" t="s">
        <v>275</v>
      </c>
      <c r="E22" s="245"/>
      <c r="F22" s="246"/>
    </row>
    <row r="23" spans="2:18" ht="25.5" customHeight="1" x14ac:dyDescent="0.25">
      <c r="B23" s="254"/>
      <c r="C23" s="254"/>
      <c r="D23" s="247" t="s">
        <v>131</v>
      </c>
      <c r="E23" s="248"/>
      <c r="F23" s="249"/>
    </row>
    <row r="24" spans="2:18" x14ac:dyDescent="0.25">
      <c r="B24" s="254"/>
      <c r="C24" s="254"/>
      <c r="D24" s="250" t="s">
        <v>2</v>
      </c>
      <c r="E24" s="250" t="s">
        <v>124</v>
      </c>
      <c r="F24" s="122" t="s">
        <v>128</v>
      </c>
    </row>
    <row r="25" spans="2:18" x14ac:dyDescent="0.25">
      <c r="B25" s="251"/>
      <c r="C25" s="251"/>
      <c r="D25" s="251"/>
      <c r="E25" s="251"/>
      <c r="F25" s="123" t="s">
        <v>124</v>
      </c>
    </row>
    <row r="26" spans="2:18" x14ac:dyDescent="0.25">
      <c r="B26" s="124">
        <v>21</v>
      </c>
      <c r="C26" s="125" t="s">
        <v>9</v>
      </c>
      <c r="D26" s="126">
        <f>+'02-01'!C24</f>
        <v>1421722</v>
      </c>
      <c r="E26" s="126">
        <f>+'02-01'!F24</f>
        <v>203199</v>
      </c>
      <c r="F26" s="128">
        <f>E26/D26</f>
        <v>0.14292456612474169</v>
      </c>
    </row>
    <row r="27" spans="2:18" x14ac:dyDescent="0.25">
      <c r="B27" s="124">
        <v>22</v>
      </c>
      <c r="C27" s="125" t="s">
        <v>16</v>
      </c>
      <c r="D27" s="126">
        <f>+'02-01'!C31</f>
        <v>1201121</v>
      </c>
      <c r="E27" s="126">
        <f>+'02-01'!F31</f>
        <v>123988</v>
      </c>
      <c r="F27" s="128">
        <f t="shared" ref="F27:F32" si="5">E27/D27</f>
        <v>0.10322690220219279</v>
      </c>
    </row>
    <row r="28" spans="2:18" x14ac:dyDescent="0.25">
      <c r="B28" s="124">
        <v>24</v>
      </c>
      <c r="C28" s="125" t="s">
        <v>32</v>
      </c>
      <c r="D28" s="126">
        <f>+'02-01'!C32</f>
        <v>195166</v>
      </c>
      <c r="E28" s="126">
        <f>+'02-01'!F32</f>
        <v>0</v>
      </c>
      <c r="F28" s="128">
        <f t="shared" si="5"/>
        <v>0</v>
      </c>
    </row>
    <row r="29" spans="2:18" x14ac:dyDescent="0.25">
      <c r="B29" s="197" t="s">
        <v>268</v>
      </c>
      <c r="C29" s="125" t="s">
        <v>70</v>
      </c>
      <c r="D29" s="126">
        <f>+'02-01'!C39</f>
        <v>20</v>
      </c>
      <c r="E29" s="190">
        <f>+'02-01'!F39</f>
        <v>0</v>
      </c>
      <c r="F29" s="128">
        <f t="shared" si="5"/>
        <v>0</v>
      </c>
    </row>
    <row r="30" spans="2:18" x14ac:dyDescent="0.25">
      <c r="B30" s="124">
        <v>29</v>
      </c>
      <c r="C30" s="125" t="s">
        <v>129</v>
      </c>
      <c r="D30" s="126">
        <f>+'02-01'!C40</f>
        <v>62122</v>
      </c>
      <c r="E30" s="190">
        <f>+'02-01'!F40</f>
        <v>1738</v>
      </c>
      <c r="F30" s="128">
        <f t="shared" si="5"/>
        <v>2.797720614275136E-2</v>
      </c>
    </row>
    <row r="31" spans="2:18" x14ac:dyDescent="0.25">
      <c r="B31" s="124">
        <v>34</v>
      </c>
      <c r="C31" s="125" t="s">
        <v>78</v>
      </c>
      <c r="D31" s="126">
        <f>+'02-01'!C45</f>
        <v>10</v>
      </c>
      <c r="E31" s="190">
        <f>+'02-01'!F46</f>
        <v>158272</v>
      </c>
      <c r="F31" s="128">
        <f t="shared" si="5"/>
        <v>15827.2</v>
      </c>
    </row>
    <row r="32" spans="2:18" x14ac:dyDescent="0.25">
      <c r="B32" s="252" t="s">
        <v>91</v>
      </c>
      <c r="C32" s="253"/>
      <c r="D32" s="127">
        <f>SUM(D26:D31)</f>
        <v>2880161</v>
      </c>
      <c r="E32" s="127">
        <f>SUM(E26:E31)</f>
        <v>487197</v>
      </c>
      <c r="F32" s="198">
        <f t="shared" si="5"/>
        <v>0.1691561687002914</v>
      </c>
    </row>
    <row r="35" spans="2:18" x14ac:dyDescent="0.25">
      <c r="B35" s="250" t="s">
        <v>125</v>
      </c>
      <c r="C35" s="250" t="s">
        <v>126</v>
      </c>
      <c r="D35" s="244" t="s">
        <v>275</v>
      </c>
      <c r="E35" s="245"/>
      <c r="F35" s="246"/>
      <c r="G35" s="244" t="s">
        <v>276</v>
      </c>
      <c r="H35" s="245"/>
      <c r="I35" s="246"/>
      <c r="J35" s="244" t="s">
        <v>277</v>
      </c>
      <c r="K35" s="245"/>
      <c r="L35" s="246"/>
      <c r="M35" s="244" t="s">
        <v>273</v>
      </c>
      <c r="N35" s="245"/>
      <c r="O35" s="246"/>
      <c r="P35" s="244" t="s">
        <v>29</v>
      </c>
      <c r="Q35" s="245"/>
      <c r="R35" s="246"/>
    </row>
    <row r="36" spans="2:18" ht="16.5" customHeight="1" x14ac:dyDescent="0.25">
      <c r="B36" s="254"/>
      <c r="C36" s="254"/>
      <c r="D36" s="247" t="s">
        <v>132</v>
      </c>
      <c r="E36" s="248"/>
      <c r="F36" s="249"/>
      <c r="G36" s="247" t="s">
        <v>133</v>
      </c>
      <c r="H36" s="248"/>
      <c r="I36" s="249"/>
      <c r="J36" s="247" t="s">
        <v>134</v>
      </c>
      <c r="K36" s="248"/>
      <c r="L36" s="249"/>
      <c r="M36" s="247" t="s">
        <v>274</v>
      </c>
      <c r="N36" s="248"/>
      <c r="O36" s="249"/>
      <c r="P36" s="247" t="s">
        <v>132</v>
      </c>
      <c r="Q36" s="248"/>
      <c r="R36" s="249"/>
    </row>
    <row r="37" spans="2:18" x14ac:dyDescent="0.25">
      <c r="B37" s="254"/>
      <c r="C37" s="254"/>
      <c r="D37" s="250" t="s">
        <v>2</v>
      </c>
      <c r="E37" s="250" t="s">
        <v>124</v>
      </c>
      <c r="F37" s="122" t="s">
        <v>128</v>
      </c>
      <c r="G37" s="250" t="s">
        <v>2</v>
      </c>
      <c r="H37" s="250" t="s">
        <v>124</v>
      </c>
      <c r="I37" s="122" t="s">
        <v>128</v>
      </c>
      <c r="J37" s="250" t="s">
        <v>2</v>
      </c>
      <c r="K37" s="250" t="s">
        <v>124</v>
      </c>
      <c r="L37" s="122" t="s">
        <v>128</v>
      </c>
      <c r="M37" s="250" t="s">
        <v>2</v>
      </c>
      <c r="N37" s="250" t="s">
        <v>124</v>
      </c>
      <c r="O37" s="122" t="s">
        <v>128</v>
      </c>
      <c r="P37" s="250" t="s">
        <v>2</v>
      </c>
      <c r="Q37" s="250" t="s">
        <v>124</v>
      </c>
      <c r="R37" s="122" t="s">
        <v>128</v>
      </c>
    </row>
    <row r="38" spans="2:18" x14ac:dyDescent="0.25">
      <c r="B38" s="251"/>
      <c r="C38" s="251"/>
      <c r="D38" s="251"/>
      <c r="E38" s="251"/>
      <c r="F38" s="123" t="s">
        <v>124</v>
      </c>
      <c r="G38" s="251"/>
      <c r="H38" s="251"/>
      <c r="I38" s="123" t="s">
        <v>124</v>
      </c>
      <c r="J38" s="251"/>
      <c r="K38" s="251"/>
      <c r="L38" s="123" t="s">
        <v>124</v>
      </c>
      <c r="M38" s="251"/>
      <c r="N38" s="251"/>
      <c r="O38" s="123" t="s">
        <v>124</v>
      </c>
      <c r="P38" s="251"/>
      <c r="Q38" s="251"/>
      <c r="R38" s="123" t="s">
        <v>124</v>
      </c>
    </row>
    <row r="39" spans="2:18" x14ac:dyDescent="0.25">
      <c r="B39" s="124">
        <v>21</v>
      </c>
      <c r="C39" s="125" t="s">
        <v>9</v>
      </c>
      <c r="D39" s="126">
        <f>+'03-01'!C23</f>
        <v>33562987</v>
      </c>
      <c r="E39" s="126">
        <f>+'03-01'!F23</f>
        <v>4420449</v>
      </c>
      <c r="F39" s="130">
        <f>E39/D39</f>
        <v>0.13170606656672126</v>
      </c>
      <c r="G39" s="126">
        <f>+'03-02'!C21</f>
        <v>1568226</v>
      </c>
      <c r="H39" s="126">
        <f>+'03-02'!F21</f>
        <v>225702</v>
      </c>
      <c r="I39" s="130">
        <f>H39/G39</f>
        <v>0.14392185820156023</v>
      </c>
      <c r="J39" s="126">
        <f>+'03-03'!C15</f>
        <v>5844127</v>
      </c>
      <c r="K39" s="126">
        <f>+'03-03'!F15</f>
        <v>751075</v>
      </c>
      <c r="L39" s="130">
        <f>K39/J39</f>
        <v>0.12851791208507277</v>
      </c>
      <c r="M39" s="126">
        <f>+'03-04'!C16</f>
        <v>4125135</v>
      </c>
      <c r="N39" s="126">
        <f>+'03-04'!F16</f>
        <v>566400</v>
      </c>
      <c r="O39" s="128">
        <f>+N39/M39</f>
        <v>0.13730459730408823</v>
      </c>
      <c r="P39" s="126">
        <f>+D39+G39+J39+M39</f>
        <v>45100475</v>
      </c>
      <c r="Q39" s="126">
        <f>+E39+H39+K39+N39</f>
        <v>5963626</v>
      </c>
      <c r="R39" s="130">
        <f>Q39/P39</f>
        <v>0.13222978250229073</v>
      </c>
    </row>
    <row r="40" spans="2:18" x14ac:dyDescent="0.25">
      <c r="B40" s="124">
        <v>22</v>
      </c>
      <c r="C40" s="125" t="s">
        <v>16</v>
      </c>
      <c r="D40" s="126">
        <f>+'03-01'!C30</f>
        <v>8354232</v>
      </c>
      <c r="E40" s="126">
        <f>+'03-01'!F30</f>
        <v>1234500</v>
      </c>
      <c r="F40" s="130">
        <f t="shared" ref="F40:F48" si="6">E40/D40</f>
        <v>0.14776941794290607</v>
      </c>
      <c r="G40" s="126">
        <f>+'03-02'!C28</f>
        <v>5295542</v>
      </c>
      <c r="H40" s="126">
        <f>+'03-02'!F28</f>
        <v>747092</v>
      </c>
      <c r="I40" s="130">
        <f t="shared" ref="I40:I47" si="7">H40/G40</f>
        <v>0.14107942114329375</v>
      </c>
      <c r="J40" s="126">
        <f>+'03-03'!C22</f>
        <v>1671464</v>
      </c>
      <c r="K40" s="126">
        <f>+'03-03'!F22</f>
        <v>166930</v>
      </c>
      <c r="L40" s="130">
        <f t="shared" ref="L40:L47" si="8">K40/J40</f>
        <v>9.9870532658794919E-2</v>
      </c>
      <c r="M40" s="126">
        <f>+'03-04'!C23</f>
        <v>1420983</v>
      </c>
      <c r="N40" s="126">
        <f>+'03-04'!F23</f>
        <v>118120</v>
      </c>
      <c r="O40" s="128">
        <f t="shared" ref="O40:O45" si="9">+N40/M40</f>
        <v>8.3125554633658533E-2</v>
      </c>
      <c r="P40" s="126">
        <f t="shared" ref="P40:P47" si="10">+D40+G40+J40+M40</f>
        <v>16742221</v>
      </c>
      <c r="Q40" s="126">
        <f t="shared" ref="Q40:Q47" si="11">+E40+H40+K40+N40</f>
        <v>2266642</v>
      </c>
      <c r="R40" s="130">
        <f t="shared" ref="R40:R48" si="12">Q40/P40</f>
        <v>0.13538478556698064</v>
      </c>
    </row>
    <row r="41" spans="2:18" x14ac:dyDescent="0.25">
      <c r="B41" s="124">
        <v>23</v>
      </c>
      <c r="C41" s="125" t="s">
        <v>31</v>
      </c>
      <c r="D41" s="190">
        <f>+'03-01'!C31</f>
        <v>339052</v>
      </c>
      <c r="E41" s="190">
        <f>+'03-01'!F31</f>
        <v>0</v>
      </c>
      <c r="F41" s="130" t="s">
        <v>111</v>
      </c>
      <c r="G41" s="190">
        <v>0</v>
      </c>
      <c r="H41" s="190">
        <v>0</v>
      </c>
      <c r="I41" s="130" t="s">
        <v>111</v>
      </c>
      <c r="J41" s="190">
        <v>0</v>
      </c>
      <c r="K41" s="190">
        <v>0</v>
      </c>
      <c r="L41" s="130" t="s">
        <v>111</v>
      </c>
      <c r="M41" s="190">
        <f>+'03-04'!C24</f>
        <v>60870</v>
      </c>
      <c r="N41" s="190">
        <f>+'03-04'!F24</f>
        <v>0</v>
      </c>
      <c r="O41" s="128" t="s">
        <v>111</v>
      </c>
      <c r="P41" s="126">
        <f t="shared" si="10"/>
        <v>399922</v>
      </c>
      <c r="Q41" s="126">
        <f t="shared" si="11"/>
        <v>0</v>
      </c>
      <c r="R41" s="130">
        <f t="shared" si="12"/>
        <v>0</v>
      </c>
    </row>
    <row r="42" spans="2:18" x14ac:dyDescent="0.25">
      <c r="B42" s="124">
        <v>24</v>
      </c>
      <c r="C42" s="125" t="s">
        <v>32</v>
      </c>
      <c r="D42" s="126">
        <f>+'03-01'!C32</f>
        <v>13714737</v>
      </c>
      <c r="E42" s="126">
        <f>+'03-01'!F32</f>
        <v>2112664</v>
      </c>
      <c r="F42" s="130">
        <f t="shared" si="6"/>
        <v>0.15404334767775715</v>
      </c>
      <c r="G42" s="190">
        <v>0</v>
      </c>
      <c r="H42" s="190">
        <v>0</v>
      </c>
      <c r="I42" s="130" t="s">
        <v>111</v>
      </c>
      <c r="J42" s="190">
        <v>0</v>
      </c>
      <c r="K42" s="190">
        <v>0</v>
      </c>
      <c r="L42" s="130" t="s">
        <v>111</v>
      </c>
      <c r="M42" s="126">
        <f>+'03-04'!C25</f>
        <v>522614</v>
      </c>
      <c r="N42" s="126">
        <f>+'03-04'!F25</f>
        <v>20616</v>
      </c>
      <c r="O42" s="128">
        <f t="shared" si="9"/>
        <v>3.9447852525956062E-2</v>
      </c>
      <c r="P42" s="126">
        <f t="shared" si="10"/>
        <v>14237351</v>
      </c>
      <c r="Q42" s="126">
        <f t="shared" si="11"/>
        <v>2133280</v>
      </c>
      <c r="R42" s="130">
        <f t="shared" si="12"/>
        <v>0.14983686220842626</v>
      </c>
    </row>
    <row r="43" spans="2:18" x14ac:dyDescent="0.25">
      <c r="B43" s="124">
        <v>25</v>
      </c>
      <c r="C43" s="125" t="s">
        <v>70</v>
      </c>
      <c r="D43" s="126">
        <f>+'03-01'!C51</f>
        <v>17856</v>
      </c>
      <c r="E43" s="126">
        <f>+'03-01'!F51</f>
        <v>151414</v>
      </c>
      <c r="F43" s="130">
        <f t="shared" si="6"/>
        <v>8.4797267025089607</v>
      </c>
      <c r="G43" s="126">
        <f>+'03-02'!C29</f>
        <v>1291</v>
      </c>
      <c r="H43" s="126">
        <f>+'03-02'!F29</f>
        <v>0</v>
      </c>
      <c r="I43" s="130">
        <f t="shared" si="7"/>
        <v>0</v>
      </c>
      <c r="J43" s="190">
        <v>0</v>
      </c>
      <c r="K43" s="190">
        <v>0</v>
      </c>
      <c r="L43" s="130" t="s">
        <v>111</v>
      </c>
      <c r="M43" s="129">
        <f>+'03-04'!C30</f>
        <v>0</v>
      </c>
      <c r="N43" s="129">
        <f>+'03-04'!F30</f>
        <v>0</v>
      </c>
      <c r="O43" s="128" t="s">
        <v>111</v>
      </c>
      <c r="P43" s="126">
        <f t="shared" si="10"/>
        <v>19147</v>
      </c>
      <c r="Q43" s="126">
        <f t="shared" si="11"/>
        <v>151414</v>
      </c>
      <c r="R43" s="130">
        <f t="shared" si="12"/>
        <v>7.9079751397085705</v>
      </c>
    </row>
    <row r="44" spans="2:18" ht="15" customHeight="1" x14ac:dyDescent="0.25">
      <c r="B44" s="124">
        <v>29</v>
      </c>
      <c r="C44" s="125" t="s">
        <v>129</v>
      </c>
      <c r="D44" s="126">
        <f>+'03-01'!C52</f>
        <v>2215792</v>
      </c>
      <c r="E44" s="126">
        <f>+'03-01'!F52</f>
        <v>5450</v>
      </c>
      <c r="F44" s="130">
        <f t="shared" si="6"/>
        <v>2.4596171481799734E-3</v>
      </c>
      <c r="G44" s="126">
        <f>+'03-02'!C30</f>
        <v>78607</v>
      </c>
      <c r="H44" s="190">
        <f>+'03-02'!F30</f>
        <v>0</v>
      </c>
      <c r="I44" s="130">
        <f t="shared" si="7"/>
        <v>0</v>
      </c>
      <c r="J44" s="126">
        <f>+'03-03'!C24</f>
        <v>75770</v>
      </c>
      <c r="K44" s="126">
        <f>+'03-03'!F24</f>
        <v>1845</v>
      </c>
      <c r="L44" s="130">
        <f t="shared" si="8"/>
        <v>2.4350006598917777E-2</v>
      </c>
      <c r="M44" s="126">
        <f>+'03-04'!C31</f>
        <v>130902</v>
      </c>
      <c r="N44" s="129">
        <f>+'03-04'!F31</f>
        <v>5343</v>
      </c>
      <c r="O44" s="128">
        <f t="shared" si="9"/>
        <v>4.0816794243021495E-2</v>
      </c>
      <c r="P44" s="126">
        <f t="shared" si="10"/>
        <v>2501071</v>
      </c>
      <c r="Q44" s="126">
        <f t="shared" si="11"/>
        <v>12638</v>
      </c>
      <c r="R44" s="130">
        <f t="shared" si="12"/>
        <v>5.0530352796861822E-3</v>
      </c>
    </row>
    <row r="45" spans="2:18" x14ac:dyDescent="0.25">
      <c r="B45" s="124">
        <v>31</v>
      </c>
      <c r="C45" s="125" t="s">
        <v>130</v>
      </c>
      <c r="D45" s="126">
        <f>+'03-01'!C60</f>
        <v>23455551</v>
      </c>
      <c r="E45" s="190">
        <f>'03-01'!F60</f>
        <v>0</v>
      </c>
      <c r="F45" s="130">
        <f t="shared" si="6"/>
        <v>0</v>
      </c>
      <c r="G45" s="190">
        <v>0</v>
      </c>
      <c r="H45" s="190">
        <v>0</v>
      </c>
      <c r="I45" s="130" t="s">
        <v>111</v>
      </c>
      <c r="J45" s="190">
        <v>0</v>
      </c>
      <c r="K45" s="190">
        <v>0</v>
      </c>
      <c r="L45" s="130" t="s">
        <v>111</v>
      </c>
      <c r="M45" s="126">
        <f>+'03-04'!C36</f>
        <v>958135</v>
      </c>
      <c r="N45" s="129">
        <f>'03-04'!F36</f>
        <v>1197</v>
      </c>
      <c r="O45" s="128">
        <f t="shared" si="9"/>
        <v>1.249302029463489E-3</v>
      </c>
      <c r="P45" s="126">
        <f t="shared" si="10"/>
        <v>24413686</v>
      </c>
      <c r="Q45" s="126">
        <f t="shared" si="11"/>
        <v>1197</v>
      </c>
      <c r="R45" s="130">
        <f t="shared" si="12"/>
        <v>4.9029876111292659E-5</v>
      </c>
    </row>
    <row r="46" spans="2:18" x14ac:dyDescent="0.25">
      <c r="B46" s="124">
        <v>33</v>
      </c>
      <c r="C46" s="125" t="s">
        <v>74</v>
      </c>
      <c r="D46" s="126">
        <f>+'03-01'!C62</f>
        <v>8294963</v>
      </c>
      <c r="E46" s="126">
        <f>+'03-01'!F62</f>
        <v>4529</v>
      </c>
      <c r="F46" s="130">
        <f t="shared" si="6"/>
        <v>5.4599399659769428E-4</v>
      </c>
      <c r="G46" s="190">
        <v>0</v>
      </c>
      <c r="H46" s="190">
        <v>0</v>
      </c>
      <c r="I46" s="130" t="s">
        <v>111</v>
      </c>
      <c r="J46" s="190">
        <v>0</v>
      </c>
      <c r="K46" s="190">
        <v>0</v>
      </c>
      <c r="L46" s="130" t="s">
        <v>111</v>
      </c>
      <c r="M46" s="190">
        <v>0</v>
      </c>
      <c r="N46" s="190">
        <v>0</v>
      </c>
      <c r="O46" s="128" t="s">
        <v>111</v>
      </c>
      <c r="P46" s="126">
        <f t="shared" si="10"/>
        <v>8294963</v>
      </c>
      <c r="Q46" s="126">
        <f t="shared" si="11"/>
        <v>4529</v>
      </c>
      <c r="R46" s="130">
        <f t="shared" si="12"/>
        <v>5.4599399659769428E-4</v>
      </c>
    </row>
    <row r="47" spans="2:18" x14ac:dyDescent="0.25">
      <c r="B47" s="124">
        <v>34</v>
      </c>
      <c r="C47" s="125" t="s">
        <v>78</v>
      </c>
      <c r="D47" s="126">
        <f>+'03-01'!C71</f>
        <v>10</v>
      </c>
      <c r="E47" s="126">
        <f>+'03-01'!F71</f>
        <v>3491481</v>
      </c>
      <c r="F47" s="130">
        <f t="shared" si="6"/>
        <v>349148.1</v>
      </c>
      <c r="G47" s="126">
        <f>+'03-02'!C35</f>
        <v>10</v>
      </c>
      <c r="H47" s="126">
        <f>+'03-02'!F35</f>
        <v>300424</v>
      </c>
      <c r="I47" s="130">
        <f t="shared" si="7"/>
        <v>30042.400000000001</v>
      </c>
      <c r="J47" s="126">
        <f>+'03-03'!C28</f>
        <v>10</v>
      </c>
      <c r="K47" s="126">
        <f>+'03-03'!F28</f>
        <v>157182</v>
      </c>
      <c r="L47" s="130">
        <f t="shared" si="8"/>
        <v>15718.2</v>
      </c>
      <c r="M47" s="190">
        <f>+'03-04'!C38</f>
        <v>0</v>
      </c>
      <c r="N47" s="190">
        <f>+'03-04'!F38</f>
        <v>386203</v>
      </c>
      <c r="O47" s="128" t="s">
        <v>111</v>
      </c>
      <c r="P47" s="126">
        <f t="shared" si="10"/>
        <v>30</v>
      </c>
      <c r="Q47" s="126">
        <f t="shared" si="11"/>
        <v>4335290</v>
      </c>
      <c r="R47" s="130">
        <f t="shared" si="12"/>
        <v>144509.66666666666</v>
      </c>
    </row>
    <row r="48" spans="2:18" x14ac:dyDescent="0.25">
      <c r="B48" s="252" t="s">
        <v>91</v>
      </c>
      <c r="C48" s="253"/>
      <c r="D48" s="127">
        <f>SUM(D39:D47)</f>
        <v>89955180</v>
      </c>
      <c r="E48" s="127">
        <f>SUM(E39:E47)</f>
        <v>11420487</v>
      </c>
      <c r="F48" s="131">
        <f t="shared" si="6"/>
        <v>0.12695752484737399</v>
      </c>
      <c r="G48" s="127">
        <f>SUM(G39:G47)</f>
        <v>6943676</v>
      </c>
      <c r="H48" s="127">
        <f>SUM(H39:H47)</f>
        <v>1273218</v>
      </c>
      <c r="I48" s="131">
        <f t="shared" ref="I48" si="13">H48/G48</f>
        <v>0.18336368229162767</v>
      </c>
      <c r="J48" s="127">
        <f>SUM(J39:J47)</f>
        <v>7591371</v>
      </c>
      <c r="K48" s="127">
        <f>SUM(K39:K47)</f>
        <v>1077032</v>
      </c>
      <c r="L48" s="131">
        <f t="shared" ref="L48" si="14">K48/J48</f>
        <v>0.14187582190357972</v>
      </c>
      <c r="M48" s="127">
        <f>SUM(M39:M47)</f>
        <v>7218639</v>
      </c>
      <c r="N48" s="127">
        <f>SUM(N39:N47)</f>
        <v>1097879</v>
      </c>
      <c r="O48" s="131">
        <f t="shared" ref="O48" si="15">N48/M48</f>
        <v>0.15208947282167734</v>
      </c>
      <c r="P48" s="127">
        <f>SUM(P39:P47)</f>
        <v>111708866</v>
      </c>
      <c r="Q48" s="127">
        <f>SUM(Q39:Q47)</f>
        <v>14868616</v>
      </c>
      <c r="R48" s="131">
        <f t="shared" si="12"/>
        <v>0.1331014854273071</v>
      </c>
    </row>
  </sheetData>
  <mergeCells count="45">
    <mergeCell ref="J4:L4"/>
    <mergeCell ref="J5:L5"/>
    <mergeCell ref="J6:J7"/>
    <mergeCell ref="K6:K7"/>
    <mergeCell ref="B4:B7"/>
    <mergeCell ref="C4:C7"/>
    <mergeCell ref="D4:F4"/>
    <mergeCell ref="D5:F5"/>
    <mergeCell ref="G4:I4"/>
    <mergeCell ref="G5:I5"/>
    <mergeCell ref="D6:D7"/>
    <mergeCell ref="E6:E7"/>
    <mergeCell ref="G6:G7"/>
    <mergeCell ref="H6:H7"/>
    <mergeCell ref="D24:D25"/>
    <mergeCell ref="E24:E25"/>
    <mergeCell ref="B32:C32"/>
    <mergeCell ref="B35:B38"/>
    <mergeCell ref="C35:C38"/>
    <mergeCell ref="D35:F35"/>
    <mergeCell ref="D36:F36"/>
    <mergeCell ref="B18:C18"/>
    <mergeCell ref="B48:C48"/>
    <mergeCell ref="J35:L35"/>
    <mergeCell ref="J36:L36"/>
    <mergeCell ref="D37:D38"/>
    <mergeCell ref="E37:E38"/>
    <mergeCell ref="G37:G38"/>
    <mergeCell ref="H37:H38"/>
    <mergeCell ref="J37:J38"/>
    <mergeCell ref="K37:K38"/>
    <mergeCell ref="G35:I35"/>
    <mergeCell ref="G36:I36"/>
    <mergeCell ref="B22:B25"/>
    <mergeCell ref="C22:C25"/>
    <mergeCell ref="D22:F22"/>
    <mergeCell ref="D23:F23"/>
    <mergeCell ref="M35:O35"/>
    <mergeCell ref="M36:O36"/>
    <mergeCell ref="P35:R35"/>
    <mergeCell ref="P36:R36"/>
    <mergeCell ref="P37:P38"/>
    <mergeCell ref="Q37:Q38"/>
    <mergeCell ref="N37:N38"/>
    <mergeCell ref="M37:M38"/>
  </mergeCells>
  <pageMargins left="0.7" right="0.7" top="0.75" bottom="0.75" header="0.3" footer="0.3"/>
  <pageSetup orientation="portrait" r:id="rId1"/>
  <ignoredErrors>
    <ignoredError sqref="F18 I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outlinePr summaryBelow="0"/>
    <pageSetUpPr fitToPage="1"/>
  </sheetPr>
  <dimension ref="A2:Z89"/>
  <sheetViews>
    <sheetView showGridLines="0" zoomScale="90" zoomScaleNormal="90" workbookViewId="0">
      <selection activeCell="A2" sqref="A2:I2"/>
    </sheetView>
  </sheetViews>
  <sheetFormatPr baseColWidth="10" defaultRowHeight="15" outlineLevelRow="1" x14ac:dyDescent="0.25"/>
  <cols>
    <col min="1" max="1" width="11.42578125" style="27"/>
    <col min="2" max="2" width="55.7109375" customWidth="1"/>
    <col min="3" max="3" width="15.140625" customWidth="1"/>
    <col min="4" max="4" width="14.7109375" customWidth="1"/>
    <col min="5" max="5" width="16.42578125" customWidth="1"/>
    <col min="6" max="6" width="14.5703125" customWidth="1"/>
    <col min="7" max="7" width="15.7109375" customWidth="1"/>
    <col min="8" max="9" width="12.5703125" customWidth="1"/>
    <col min="10" max="10" width="10.28515625" customWidth="1"/>
    <col min="11" max="11" width="10.7109375" customWidth="1"/>
    <col min="12" max="19" width="11.42578125" customWidth="1"/>
    <col min="20" max="20" width="10.28515625" customWidth="1"/>
    <col min="21" max="21" width="11.28515625" customWidth="1"/>
    <col min="22" max="26" width="11.42578125" customWidth="1"/>
  </cols>
  <sheetData>
    <row r="2" spans="1:11" x14ac:dyDescent="0.25">
      <c r="A2" s="233" t="s">
        <v>30</v>
      </c>
      <c r="B2" s="233"/>
      <c r="C2" s="233"/>
      <c r="D2" s="233"/>
      <c r="E2" s="233"/>
      <c r="F2" s="233"/>
      <c r="G2" s="233"/>
      <c r="H2" s="233"/>
      <c r="I2" s="233"/>
      <c r="J2" s="229"/>
      <c r="K2" s="229"/>
    </row>
    <row r="3" spans="1:11" x14ac:dyDescent="0.25">
      <c r="A3" s="232" t="s">
        <v>340</v>
      </c>
      <c r="B3" s="232"/>
      <c r="C3" s="232"/>
      <c r="D3" s="232"/>
      <c r="E3" s="232"/>
      <c r="F3" s="232"/>
      <c r="G3" s="232"/>
      <c r="H3" s="232"/>
      <c r="I3" s="232"/>
      <c r="J3" s="228"/>
      <c r="K3" s="228"/>
    </row>
    <row r="4" spans="1:11" ht="23.25" customHeight="1" x14ac:dyDescent="0.25">
      <c r="A4" s="220" t="s">
        <v>315</v>
      </c>
    </row>
    <row r="5" spans="1:11" ht="25.5" x14ac:dyDescent="0.25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5" t="s">
        <v>7</v>
      </c>
      <c r="I5" s="5" t="s">
        <v>329</v>
      </c>
    </row>
    <row r="6" spans="1:11" x14ac:dyDescent="0.25">
      <c r="A6" s="6" t="s">
        <v>283</v>
      </c>
      <c r="B6" s="7" t="s">
        <v>32</v>
      </c>
      <c r="C6" s="8">
        <f>+C7</f>
        <v>170090</v>
      </c>
      <c r="D6" s="8">
        <f>+D7</f>
        <v>0</v>
      </c>
      <c r="E6" s="8">
        <f>+C6-D6</f>
        <v>170090</v>
      </c>
      <c r="F6" s="8">
        <f>+F7</f>
        <v>0</v>
      </c>
      <c r="G6" s="8">
        <f>+D6-F6</f>
        <v>0</v>
      </c>
      <c r="H6" s="9">
        <f>+D6/C6</f>
        <v>0</v>
      </c>
      <c r="I6" s="9">
        <f>+F6/C6</f>
        <v>0</v>
      </c>
    </row>
    <row r="7" spans="1:11" s="1" customFormat="1" x14ac:dyDescent="0.25">
      <c r="A7" s="222" t="s">
        <v>284</v>
      </c>
      <c r="B7" s="223" t="s">
        <v>285</v>
      </c>
      <c r="C7" s="224">
        <f>+C8+C9</f>
        <v>170090</v>
      </c>
      <c r="D7" s="224">
        <f t="shared" ref="D7:G7" si="0">+D8+D9</f>
        <v>0</v>
      </c>
      <c r="E7" s="224">
        <f t="shared" si="0"/>
        <v>170090</v>
      </c>
      <c r="F7" s="224">
        <f t="shared" si="0"/>
        <v>0</v>
      </c>
      <c r="G7" s="224">
        <f t="shared" si="0"/>
        <v>0</v>
      </c>
      <c r="H7" s="32">
        <f t="shared" ref="H7:H23" si="1">+D7/C7</f>
        <v>0</v>
      </c>
      <c r="I7" s="32">
        <f t="shared" ref="I7:I23" si="2">+F7/C7</f>
        <v>0</v>
      </c>
    </row>
    <row r="8" spans="1:11" x14ac:dyDescent="0.25">
      <c r="A8" s="35" t="s">
        <v>286</v>
      </c>
      <c r="B8" s="203" t="s">
        <v>287</v>
      </c>
      <c r="C8" s="11">
        <v>170080</v>
      </c>
      <c r="D8" s="11">
        <v>0</v>
      </c>
      <c r="E8" s="150">
        <f t="shared" ref="E8:E23" si="3">+C8-D8</f>
        <v>170080</v>
      </c>
      <c r="F8" s="11">
        <v>0</v>
      </c>
      <c r="G8" s="11">
        <f t="shared" ref="G8:G23" si="4">+D8-F8</f>
        <v>0</v>
      </c>
      <c r="H8" s="12">
        <f t="shared" si="1"/>
        <v>0</v>
      </c>
      <c r="I8" s="12">
        <f t="shared" si="2"/>
        <v>0</v>
      </c>
    </row>
    <row r="9" spans="1:11" x14ac:dyDescent="0.25">
      <c r="A9" s="35" t="s">
        <v>317</v>
      </c>
      <c r="B9" s="203" t="s">
        <v>318</v>
      </c>
      <c r="C9" s="11">
        <v>10</v>
      </c>
      <c r="D9" s="11">
        <v>0</v>
      </c>
      <c r="E9" s="150">
        <f t="shared" si="3"/>
        <v>10</v>
      </c>
      <c r="F9" s="11">
        <v>0</v>
      </c>
      <c r="G9" s="11">
        <f t="shared" si="4"/>
        <v>0</v>
      </c>
      <c r="H9" s="12">
        <f t="shared" si="1"/>
        <v>0</v>
      </c>
      <c r="I9" s="12">
        <f t="shared" si="2"/>
        <v>0</v>
      </c>
    </row>
    <row r="10" spans="1:11" x14ac:dyDescent="0.25">
      <c r="A10" s="202" t="s">
        <v>288</v>
      </c>
      <c r="B10" s="208" t="s">
        <v>289</v>
      </c>
      <c r="C10" s="209">
        <v>13766</v>
      </c>
      <c r="D10" s="209">
        <v>0</v>
      </c>
      <c r="E10" s="8">
        <f t="shared" si="3"/>
        <v>13766</v>
      </c>
      <c r="F10" s="209">
        <v>0</v>
      </c>
      <c r="G10" s="209">
        <f t="shared" si="4"/>
        <v>0</v>
      </c>
      <c r="H10" s="9">
        <f t="shared" si="1"/>
        <v>0</v>
      </c>
      <c r="I10" s="9">
        <f t="shared" si="2"/>
        <v>0</v>
      </c>
    </row>
    <row r="11" spans="1:11" x14ac:dyDescent="0.25">
      <c r="A11" s="202" t="s">
        <v>290</v>
      </c>
      <c r="B11" s="208" t="s">
        <v>291</v>
      </c>
      <c r="C11" s="209">
        <f>SUM(C12:C14)</f>
        <v>250680</v>
      </c>
      <c r="D11" s="209">
        <f>SUM(D12:D14)</f>
        <v>305530</v>
      </c>
      <c r="E11" s="8">
        <f t="shared" si="3"/>
        <v>-54850</v>
      </c>
      <c r="F11" s="209">
        <f>SUM(F12:F14)</f>
        <v>305530</v>
      </c>
      <c r="G11" s="209">
        <f t="shared" si="4"/>
        <v>0</v>
      </c>
      <c r="H11" s="9">
        <f t="shared" si="1"/>
        <v>1.2188048508058082</v>
      </c>
      <c r="I11" s="9">
        <f t="shared" si="2"/>
        <v>1.2188048508058082</v>
      </c>
    </row>
    <row r="12" spans="1:11" x14ac:dyDescent="0.25">
      <c r="A12" s="35" t="s">
        <v>292</v>
      </c>
      <c r="B12" s="203" t="s">
        <v>293</v>
      </c>
      <c r="C12" s="11">
        <v>10</v>
      </c>
      <c r="D12" s="11">
        <v>81482</v>
      </c>
      <c r="E12" s="150">
        <f t="shared" si="3"/>
        <v>-81472</v>
      </c>
      <c r="F12" s="11">
        <v>81482</v>
      </c>
      <c r="G12" s="11">
        <f t="shared" si="4"/>
        <v>0</v>
      </c>
      <c r="H12" s="12">
        <f t="shared" si="1"/>
        <v>8148.2</v>
      </c>
      <c r="I12" s="12">
        <f t="shared" si="2"/>
        <v>8148.2</v>
      </c>
    </row>
    <row r="13" spans="1:11" x14ac:dyDescent="0.25">
      <c r="A13" s="35" t="s">
        <v>294</v>
      </c>
      <c r="B13" s="203" t="s">
        <v>295</v>
      </c>
      <c r="C13" s="11">
        <v>1908</v>
      </c>
      <c r="D13" s="11">
        <v>1100</v>
      </c>
      <c r="E13" s="150">
        <f t="shared" si="3"/>
        <v>808</v>
      </c>
      <c r="F13" s="11">
        <v>1100</v>
      </c>
      <c r="G13" s="11">
        <f t="shared" si="4"/>
        <v>0</v>
      </c>
      <c r="H13" s="12">
        <f t="shared" si="1"/>
        <v>0.5765199161425576</v>
      </c>
      <c r="I13" s="12">
        <f t="shared" si="2"/>
        <v>0.5765199161425576</v>
      </c>
    </row>
    <row r="14" spans="1:11" x14ac:dyDescent="0.25">
      <c r="A14" s="35" t="s">
        <v>296</v>
      </c>
      <c r="B14" s="203" t="s">
        <v>297</v>
      </c>
      <c r="C14" s="11">
        <v>248762</v>
      </c>
      <c r="D14" s="11">
        <v>222948</v>
      </c>
      <c r="E14" s="150">
        <f t="shared" si="3"/>
        <v>25814</v>
      </c>
      <c r="F14" s="11">
        <v>222948</v>
      </c>
      <c r="G14" s="11">
        <f t="shared" si="4"/>
        <v>0</v>
      </c>
      <c r="H14" s="12">
        <f t="shared" si="1"/>
        <v>0.89623013161174137</v>
      </c>
      <c r="I14" s="12">
        <f t="shared" si="2"/>
        <v>0.89623013161174137</v>
      </c>
    </row>
    <row r="15" spans="1:11" x14ac:dyDescent="0.25">
      <c r="A15" s="202" t="s">
        <v>298</v>
      </c>
      <c r="B15" s="208" t="s">
        <v>299</v>
      </c>
      <c r="C15" s="209">
        <f>+C16</f>
        <v>117429799</v>
      </c>
      <c r="D15" s="209">
        <f>+D16</f>
        <v>5053167</v>
      </c>
      <c r="E15" s="8">
        <f t="shared" si="3"/>
        <v>112376632</v>
      </c>
      <c r="F15" s="209">
        <f>+F16</f>
        <v>4988457</v>
      </c>
      <c r="G15" s="209">
        <f t="shared" si="4"/>
        <v>64710</v>
      </c>
      <c r="H15" s="9">
        <f t="shared" si="1"/>
        <v>4.3031385926156615E-2</v>
      </c>
      <c r="I15" s="9">
        <f t="shared" si="2"/>
        <v>4.2480333292574231E-2</v>
      </c>
    </row>
    <row r="16" spans="1:11" s="1" customFormat="1" x14ac:dyDescent="0.25">
      <c r="A16" s="222" t="s">
        <v>300</v>
      </c>
      <c r="B16" s="223" t="s">
        <v>301</v>
      </c>
      <c r="C16" s="224">
        <f>+C17+C18</f>
        <v>117429799</v>
      </c>
      <c r="D16" s="224">
        <f>+D17+D18</f>
        <v>5053167</v>
      </c>
      <c r="E16" s="151">
        <f t="shared" si="3"/>
        <v>112376632</v>
      </c>
      <c r="F16" s="224">
        <f>+F17+F18</f>
        <v>4988457</v>
      </c>
      <c r="G16" s="224">
        <f t="shared" si="4"/>
        <v>64710</v>
      </c>
      <c r="H16" s="32">
        <f t="shared" si="1"/>
        <v>4.3031385926156615E-2</v>
      </c>
      <c r="I16" s="32">
        <f t="shared" si="2"/>
        <v>4.2480333292574231E-2</v>
      </c>
    </row>
    <row r="17" spans="1:26" x14ac:dyDescent="0.25">
      <c r="A17" s="35" t="s">
        <v>302</v>
      </c>
      <c r="B17" s="203" t="s">
        <v>303</v>
      </c>
      <c r="C17" s="11">
        <v>26579495</v>
      </c>
      <c r="D17" s="11">
        <v>1644797</v>
      </c>
      <c r="E17" s="150">
        <f t="shared" si="3"/>
        <v>24934698</v>
      </c>
      <c r="F17" s="11">
        <v>1644797</v>
      </c>
      <c r="G17" s="11">
        <f t="shared" si="4"/>
        <v>0</v>
      </c>
      <c r="H17" s="12">
        <f t="shared" si="1"/>
        <v>6.1882176467235366E-2</v>
      </c>
      <c r="I17" s="12">
        <f t="shared" si="2"/>
        <v>6.1882176467235366E-2</v>
      </c>
    </row>
    <row r="18" spans="1:26" x14ac:dyDescent="0.25">
      <c r="A18" s="35" t="s">
        <v>304</v>
      </c>
      <c r="B18" s="203" t="s">
        <v>305</v>
      </c>
      <c r="C18" s="11">
        <v>90850304</v>
      </c>
      <c r="D18" s="11">
        <v>3408370</v>
      </c>
      <c r="E18" s="150">
        <f t="shared" si="3"/>
        <v>87441934</v>
      </c>
      <c r="F18" s="11">
        <v>3343660</v>
      </c>
      <c r="G18" s="11">
        <f t="shared" si="4"/>
        <v>64710</v>
      </c>
      <c r="H18" s="12">
        <f t="shared" si="1"/>
        <v>3.7516330159995941E-2</v>
      </c>
      <c r="I18" s="12">
        <f t="shared" si="2"/>
        <v>3.6804059565942675E-2</v>
      </c>
    </row>
    <row r="19" spans="1:26" hidden="1" x14ac:dyDescent="0.25">
      <c r="A19" s="202" t="s">
        <v>312</v>
      </c>
      <c r="B19" s="208" t="s">
        <v>314</v>
      </c>
      <c r="C19" s="209">
        <f>+C20</f>
        <v>0</v>
      </c>
      <c r="D19" s="209">
        <f>+D20</f>
        <v>0</v>
      </c>
      <c r="E19" s="8">
        <f t="shared" si="3"/>
        <v>0</v>
      </c>
      <c r="F19" s="209">
        <f>+F20</f>
        <v>0</v>
      </c>
      <c r="G19" s="209">
        <f t="shared" si="4"/>
        <v>0</v>
      </c>
      <c r="H19" s="9" t="e">
        <f t="shared" si="1"/>
        <v>#DIV/0!</v>
      </c>
      <c r="I19" s="9" t="e">
        <f t="shared" si="2"/>
        <v>#DIV/0!</v>
      </c>
    </row>
    <row r="20" spans="1:26" hidden="1" x14ac:dyDescent="0.25">
      <c r="A20" s="205" t="s">
        <v>313</v>
      </c>
      <c r="B20" s="206" t="s">
        <v>19</v>
      </c>
      <c r="C20" s="164">
        <v>0</v>
      </c>
      <c r="D20" s="164">
        <v>0</v>
      </c>
      <c r="E20" s="150">
        <f t="shared" si="3"/>
        <v>0</v>
      </c>
      <c r="F20" s="164">
        <v>0</v>
      </c>
      <c r="G20" s="164">
        <f t="shared" si="4"/>
        <v>0</v>
      </c>
      <c r="H20" s="165" t="e">
        <f t="shared" si="1"/>
        <v>#DIV/0!</v>
      </c>
      <c r="I20" s="165" t="e">
        <f t="shared" si="2"/>
        <v>#DIV/0!</v>
      </c>
    </row>
    <row r="21" spans="1:26" x14ac:dyDescent="0.25">
      <c r="A21" s="202" t="s">
        <v>306</v>
      </c>
      <c r="B21" s="208" t="s">
        <v>307</v>
      </c>
      <c r="C21" s="209">
        <f>+C22</f>
        <v>93701</v>
      </c>
      <c r="D21" s="209">
        <f>+D22</f>
        <v>1909085</v>
      </c>
      <c r="E21" s="8">
        <f t="shared" si="3"/>
        <v>-1815384</v>
      </c>
      <c r="F21" s="209">
        <f>+F22</f>
        <v>1909085</v>
      </c>
      <c r="G21" s="209">
        <f t="shared" si="4"/>
        <v>0</v>
      </c>
      <c r="H21" s="9">
        <f t="shared" si="1"/>
        <v>20.374222260167983</v>
      </c>
      <c r="I21" s="9">
        <f t="shared" si="2"/>
        <v>20.374222260167983</v>
      </c>
    </row>
    <row r="22" spans="1:26" x14ac:dyDescent="0.25">
      <c r="A22" s="205" t="s">
        <v>308</v>
      </c>
      <c r="B22" s="206" t="s">
        <v>309</v>
      </c>
      <c r="C22" s="164">
        <v>93701</v>
      </c>
      <c r="D22" s="164">
        <v>1909085</v>
      </c>
      <c r="E22" s="150">
        <f t="shared" si="3"/>
        <v>-1815384</v>
      </c>
      <c r="F22" s="164">
        <v>1909085</v>
      </c>
      <c r="G22" s="164">
        <f t="shared" si="4"/>
        <v>0</v>
      </c>
      <c r="H22" s="165">
        <f t="shared" si="1"/>
        <v>20.374222260167983</v>
      </c>
      <c r="I22" s="165">
        <f t="shared" si="2"/>
        <v>20.374222260167983</v>
      </c>
    </row>
    <row r="23" spans="1:26" x14ac:dyDescent="0.25">
      <c r="A23" s="213" t="s">
        <v>310</v>
      </c>
      <c r="B23" s="214" t="s">
        <v>311</v>
      </c>
      <c r="C23" s="209">
        <v>10</v>
      </c>
      <c r="D23" s="209">
        <v>0</v>
      </c>
      <c r="E23" s="16">
        <f t="shared" si="3"/>
        <v>10</v>
      </c>
      <c r="F23" s="209">
        <v>0</v>
      </c>
      <c r="G23" s="209">
        <f t="shared" si="4"/>
        <v>0</v>
      </c>
      <c r="H23" s="9">
        <f t="shared" si="1"/>
        <v>0</v>
      </c>
      <c r="I23" s="9">
        <f t="shared" si="2"/>
        <v>0</v>
      </c>
    </row>
    <row r="24" spans="1:26" x14ac:dyDescent="0.25">
      <c r="A24" s="212"/>
      <c r="B24" s="218" t="s">
        <v>29</v>
      </c>
      <c r="C24" s="219">
        <f>+C6+C10+C11+C15+C19+C21+C23</f>
        <v>117958046</v>
      </c>
      <c r="D24" s="219">
        <f>+D6+D10+D11+D15+D19+D21+D23</f>
        <v>7267782</v>
      </c>
      <c r="E24" s="219">
        <f t="shared" ref="E24:G24" si="5">+E6+E10+E11+E15+E19+E21+E23</f>
        <v>110690264</v>
      </c>
      <c r="F24" s="219">
        <f t="shared" si="5"/>
        <v>7203072</v>
      </c>
      <c r="G24" s="219">
        <f t="shared" si="5"/>
        <v>64710</v>
      </c>
      <c r="H24" s="26">
        <f>+D24/C24</f>
        <v>6.1613279012777133E-2</v>
      </c>
      <c r="I24" s="26">
        <f>+F24/C24</f>
        <v>6.1064694137100237E-2</v>
      </c>
    </row>
    <row r="25" spans="1:26" x14ac:dyDescent="0.25">
      <c r="A25" s="215"/>
      <c r="B25" s="216"/>
      <c r="C25" s="217"/>
      <c r="D25" s="217"/>
      <c r="E25" s="217"/>
      <c r="F25" s="217"/>
      <c r="G25" s="217"/>
      <c r="H25" s="221"/>
      <c r="I25" s="221"/>
    </row>
    <row r="26" spans="1:26" x14ac:dyDescent="0.25">
      <c r="A26" s="215" t="s">
        <v>316</v>
      </c>
      <c r="B26" s="210"/>
      <c r="C26" s="204"/>
      <c r="D26" s="204"/>
      <c r="E26" s="204"/>
      <c r="F26" s="204"/>
      <c r="G26" s="204"/>
      <c r="H26" s="211"/>
      <c r="I26" s="211"/>
    </row>
    <row r="27" spans="1:26" ht="25.5" x14ac:dyDescent="0.25">
      <c r="A27" s="212" t="s">
        <v>0</v>
      </c>
      <c r="B27" s="141" t="s">
        <v>1</v>
      </c>
      <c r="C27" s="141" t="s">
        <v>2</v>
      </c>
      <c r="D27" s="141" t="s">
        <v>3</v>
      </c>
      <c r="E27" s="141" t="s">
        <v>4</v>
      </c>
      <c r="F27" s="141" t="s">
        <v>5</v>
      </c>
      <c r="G27" s="141" t="s">
        <v>6</v>
      </c>
      <c r="H27" s="141" t="s">
        <v>7</v>
      </c>
      <c r="I27" s="141" t="s">
        <v>329</v>
      </c>
    </row>
    <row r="28" spans="1:26" x14ac:dyDescent="0.25">
      <c r="A28" s="166">
        <v>21</v>
      </c>
      <c r="B28" s="207" t="s">
        <v>9</v>
      </c>
      <c r="C28" s="168">
        <f>SUM(C29:C36)</f>
        <v>26579495</v>
      </c>
      <c r="D28" s="168">
        <f>SUM(D29:D36)</f>
        <v>23992271</v>
      </c>
      <c r="E28" s="168">
        <f>+C28-D28</f>
        <v>2587224</v>
      </c>
      <c r="F28" s="168">
        <f>SUM(F29:F36)</f>
        <v>3045652</v>
      </c>
      <c r="G28" s="168">
        <f>+D28-F28</f>
        <v>20946619</v>
      </c>
      <c r="H28" s="169">
        <f>+D28/C28</f>
        <v>0.90266090458076798</v>
      </c>
      <c r="I28" s="169">
        <f t="shared" ref="I28:I79" si="6">+F28/C28</f>
        <v>0.11458652619246529</v>
      </c>
      <c r="S28" s="28"/>
      <c r="T28" s="28"/>
      <c r="U28" s="28"/>
      <c r="V28" s="28"/>
      <c r="W28" s="28"/>
      <c r="X28" s="28"/>
      <c r="Y28" s="28"/>
      <c r="Z28" s="28"/>
    </row>
    <row r="29" spans="1:26" outlineLevel="1" x14ac:dyDescent="0.25">
      <c r="A29" s="6"/>
      <c r="B29" s="10" t="s">
        <v>10</v>
      </c>
      <c r="C29" s="11">
        <f>26579495-SUM(C30:C36)</f>
        <v>25307417</v>
      </c>
      <c r="D29" s="11">
        <f>23992271-SUM(D30:D36)</f>
        <v>23219201</v>
      </c>
      <c r="E29" s="150">
        <f t="shared" ref="E29:E79" si="7">+C29-D29</f>
        <v>2088216</v>
      </c>
      <c r="F29" s="11">
        <f>3045652-SUM(F30:F36)</f>
        <v>2925785</v>
      </c>
      <c r="G29" s="150">
        <f t="shared" ref="G29:G79" si="8">+D29-F29</f>
        <v>20293416</v>
      </c>
      <c r="H29" s="12">
        <f t="shared" ref="H29:H76" si="9">+D29/C29</f>
        <v>0.91748600815326198</v>
      </c>
      <c r="I29" s="12">
        <f t="shared" si="6"/>
        <v>0.1156097834875839</v>
      </c>
      <c r="S29" s="28"/>
      <c r="T29" s="28"/>
      <c r="U29" s="28"/>
      <c r="V29" s="28"/>
      <c r="W29" s="28"/>
      <c r="X29" s="28"/>
      <c r="Y29" s="28"/>
      <c r="Z29" s="28"/>
    </row>
    <row r="30" spans="1:26" outlineLevel="1" x14ac:dyDescent="0.25">
      <c r="A30" s="6"/>
      <c r="B30" s="10" t="s">
        <v>11</v>
      </c>
      <c r="C30" s="11">
        <v>331001</v>
      </c>
      <c r="D30" s="11">
        <v>331001</v>
      </c>
      <c r="E30" s="150">
        <f t="shared" si="7"/>
        <v>0</v>
      </c>
      <c r="F30" s="11">
        <v>42542</v>
      </c>
      <c r="G30" s="150">
        <f t="shared" si="8"/>
        <v>288459</v>
      </c>
      <c r="H30" s="12">
        <f t="shared" si="9"/>
        <v>1</v>
      </c>
      <c r="I30" s="12">
        <f t="shared" si="6"/>
        <v>0.12852529146437625</v>
      </c>
      <c r="S30" s="28"/>
      <c r="T30" s="28"/>
      <c r="U30" s="28"/>
      <c r="V30" s="28"/>
      <c r="W30" s="28"/>
      <c r="X30" s="28"/>
      <c r="Y30" s="28"/>
      <c r="Z30" s="28"/>
    </row>
    <row r="31" spans="1:26" outlineLevel="1" x14ac:dyDescent="0.25">
      <c r="A31" s="6"/>
      <c r="B31" s="10" t="s">
        <v>12</v>
      </c>
      <c r="C31" s="11">
        <v>80159</v>
      </c>
      <c r="D31" s="11">
        <v>35500</v>
      </c>
      <c r="E31" s="150">
        <f t="shared" si="7"/>
        <v>44659</v>
      </c>
      <c r="F31" s="11">
        <v>1587</v>
      </c>
      <c r="G31" s="150">
        <f t="shared" si="8"/>
        <v>33913</v>
      </c>
      <c r="H31" s="12">
        <f t="shared" si="9"/>
        <v>0.4428697962798937</v>
      </c>
      <c r="I31" s="12">
        <f t="shared" si="6"/>
        <v>1.9798151174540601E-2</v>
      </c>
      <c r="S31" s="28"/>
      <c r="T31" s="28"/>
      <c r="U31" s="28"/>
      <c r="V31" s="28"/>
      <c r="W31" s="28"/>
      <c r="X31" s="28"/>
      <c r="Y31" s="28"/>
      <c r="Z31" s="28"/>
    </row>
    <row r="32" spans="1:26" outlineLevel="1" x14ac:dyDescent="0.25">
      <c r="A32" s="6"/>
      <c r="B32" s="10" t="s">
        <v>13</v>
      </c>
      <c r="C32" s="11">
        <v>132713</v>
      </c>
      <c r="D32" s="11">
        <v>12654</v>
      </c>
      <c r="E32" s="150">
        <f t="shared" si="7"/>
        <v>120059</v>
      </c>
      <c r="F32" s="11">
        <v>7668</v>
      </c>
      <c r="G32" s="150">
        <f t="shared" si="8"/>
        <v>4986</v>
      </c>
      <c r="H32" s="12">
        <f t="shared" si="9"/>
        <v>9.5348609405257967E-2</v>
      </c>
      <c r="I32" s="12">
        <f t="shared" si="6"/>
        <v>5.7778815941166274E-2</v>
      </c>
      <c r="S32" s="28"/>
      <c r="T32" s="28"/>
      <c r="U32" s="28"/>
      <c r="V32" s="28"/>
      <c r="W32" s="28"/>
      <c r="X32" s="28"/>
      <c r="Y32" s="28"/>
      <c r="Z32" s="28"/>
    </row>
    <row r="33" spans="1:26" outlineLevel="1" x14ac:dyDescent="0.25">
      <c r="A33" s="6"/>
      <c r="B33" s="10" t="s">
        <v>14</v>
      </c>
      <c r="C33" s="11">
        <v>17412</v>
      </c>
      <c r="D33" s="11">
        <v>2167</v>
      </c>
      <c r="E33" s="150">
        <f t="shared" si="7"/>
        <v>15245</v>
      </c>
      <c r="F33" s="11">
        <v>0</v>
      </c>
      <c r="G33" s="150">
        <f t="shared" si="8"/>
        <v>2167</v>
      </c>
      <c r="H33" s="12">
        <f t="shared" si="9"/>
        <v>0.1244543992648748</v>
      </c>
      <c r="I33" s="12">
        <f t="shared" si="6"/>
        <v>0</v>
      </c>
      <c r="S33" s="28"/>
      <c r="T33" s="28"/>
      <c r="U33" s="28"/>
      <c r="V33" s="28"/>
      <c r="W33" s="28"/>
      <c r="X33" s="28"/>
      <c r="Y33" s="28"/>
      <c r="Z33" s="28"/>
    </row>
    <row r="34" spans="1:26" outlineLevel="1" x14ac:dyDescent="0.25">
      <c r="A34" s="44"/>
      <c r="B34" s="163" t="s">
        <v>15</v>
      </c>
      <c r="C34" s="164">
        <v>474698</v>
      </c>
      <c r="D34" s="164">
        <v>391748</v>
      </c>
      <c r="E34" s="150">
        <f t="shared" si="7"/>
        <v>82950</v>
      </c>
      <c r="F34" s="164">
        <v>68070</v>
      </c>
      <c r="G34" s="150">
        <f t="shared" si="8"/>
        <v>323678</v>
      </c>
      <c r="H34" s="165">
        <f t="shared" si="9"/>
        <v>0.82525732149703601</v>
      </c>
      <c r="I34" s="165">
        <f t="shared" si="6"/>
        <v>0.14339643310062397</v>
      </c>
      <c r="S34" s="28"/>
      <c r="T34" s="28"/>
      <c r="U34" s="28"/>
      <c r="V34" s="28"/>
      <c r="W34" s="28"/>
      <c r="X34" s="28"/>
      <c r="Y34" s="28"/>
      <c r="Z34" s="28"/>
    </row>
    <row r="35" spans="1:26" outlineLevel="1" x14ac:dyDescent="0.25">
      <c r="A35" s="49"/>
      <c r="B35" s="170" t="s">
        <v>282</v>
      </c>
      <c r="C35" s="11">
        <v>3600</v>
      </c>
      <c r="D35" s="11">
        <v>0</v>
      </c>
      <c r="E35" s="18">
        <f t="shared" si="7"/>
        <v>3600</v>
      </c>
      <c r="F35" s="11">
        <v>0</v>
      </c>
      <c r="G35" s="18">
        <f t="shared" si="8"/>
        <v>0</v>
      </c>
      <c r="H35" s="12">
        <f t="shared" si="9"/>
        <v>0</v>
      </c>
      <c r="I35" s="12">
        <f t="shared" si="6"/>
        <v>0</v>
      </c>
      <c r="S35" s="28"/>
      <c r="T35" s="28"/>
      <c r="U35" s="28"/>
      <c r="V35" s="28"/>
      <c r="W35" s="28"/>
      <c r="X35" s="28"/>
      <c r="Y35" s="28"/>
      <c r="Z35" s="28"/>
    </row>
    <row r="36" spans="1:26" outlineLevel="1" x14ac:dyDescent="0.25">
      <c r="A36" s="49"/>
      <c r="B36" s="170" t="s">
        <v>201</v>
      </c>
      <c r="C36" s="11">
        <v>232495</v>
      </c>
      <c r="D36" s="11">
        <v>0</v>
      </c>
      <c r="E36" s="18">
        <f t="shared" si="7"/>
        <v>232495</v>
      </c>
      <c r="F36" s="11">
        <v>0</v>
      </c>
      <c r="G36" s="18">
        <f t="shared" si="8"/>
        <v>0</v>
      </c>
      <c r="H36" s="12">
        <f t="shared" si="9"/>
        <v>0</v>
      </c>
      <c r="I36" s="12">
        <f t="shared" si="6"/>
        <v>0</v>
      </c>
      <c r="S36" s="28"/>
      <c r="T36" s="28"/>
      <c r="U36" s="28"/>
      <c r="V36" s="28"/>
      <c r="W36" s="28"/>
      <c r="X36" s="28"/>
      <c r="Y36" s="28"/>
      <c r="Z36" s="28"/>
    </row>
    <row r="37" spans="1:26" x14ac:dyDescent="0.25">
      <c r="A37" s="166">
        <v>22</v>
      </c>
      <c r="B37" s="167" t="s">
        <v>16</v>
      </c>
      <c r="C37" s="168">
        <v>5334134</v>
      </c>
      <c r="D37" s="168">
        <v>2540959</v>
      </c>
      <c r="E37" s="168">
        <f t="shared" si="7"/>
        <v>2793175</v>
      </c>
      <c r="F37" s="168">
        <v>480623</v>
      </c>
      <c r="G37" s="168">
        <f t="shared" si="8"/>
        <v>2060336</v>
      </c>
      <c r="H37" s="169">
        <f t="shared" si="9"/>
        <v>0.47635829921033107</v>
      </c>
      <c r="I37" s="169">
        <f t="shared" si="6"/>
        <v>9.0103285744227643E-2</v>
      </c>
      <c r="K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25">
      <c r="A38" s="6">
        <v>23</v>
      </c>
      <c r="B38" s="13" t="s">
        <v>31</v>
      </c>
      <c r="C38" s="8">
        <v>10</v>
      </c>
      <c r="D38" s="8">
        <v>0</v>
      </c>
      <c r="E38" s="8">
        <f t="shared" si="7"/>
        <v>10</v>
      </c>
      <c r="F38" s="8">
        <v>0</v>
      </c>
      <c r="G38" s="8">
        <f t="shared" si="8"/>
        <v>0</v>
      </c>
      <c r="H38" s="9">
        <f t="shared" si="9"/>
        <v>0</v>
      </c>
      <c r="I38" s="9">
        <f t="shared" si="6"/>
        <v>0</v>
      </c>
      <c r="S38" s="28"/>
      <c r="T38" s="28"/>
      <c r="U38" s="28"/>
      <c r="V38" s="28"/>
      <c r="W38" s="28"/>
      <c r="X38" s="28"/>
      <c r="Y38" s="28"/>
      <c r="Z38" s="28"/>
    </row>
    <row r="39" spans="1:26" x14ac:dyDescent="0.25">
      <c r="A39" s="6">
        <v>24</v>
      </c>
      <c r="B39" s="13" t="s">
        <v>32</v>
      </c>
      <c r="C39" s="8">
        <f>+C40+C50+C53+C64</f>
        <v>77950400</v>
      </c>
      <c r="D39" s="8">
        <f>+D40+D50+D53+D64</f>
        <v>8084841</v>
      </c>
      <c r="E39" s="8">
        <f t="shared" si="7"/>
        <v>69865559</v>
      </c>
      <c r="F39" s="8">
        <f>+F40+F50+F53+F64</f>
        <v>1457357</v>
      </c>
      <c r="G39" s="8">
        <f t="shared" si="8"/>
        <v>6627484</v>
      </c>
      <c r="H39" s="9">
        <f t="shared" si="9"/>
        <v>0.10371776155093496</v>
      </c>
      <c r="I39" s="9">
        <f t="shared" si="6"/>
        <v>1.8695952811018289E-2</v>
      </c>
      <c r="S39" s="28"/>
      <c r="T39" s="28"/>
      <c r="U39" s="28"/>
      <c r="V39" s="28"/>
      <c r="W39" s="28"/>
      <c r="X39" s="28"/>
      <c r="Y39" s="28"/>
      <c r="Z39" s="28"/>
    </row>
    <row r="40" spans="1:26" s="33" customFormat="1" x14ac:dyDescent="0.25">
      <c r="A40" s="29" t="s">
        <v>33</v>
      </c>
      <c r="B40" s="30" t="s">
        <v>34</v>
      </c>
      <c r="C40" s="31">
        <f>SUM(C41:C49)</f>
        <v>26104186</v>
      </c>
      <c r="D40" s="31">
        <f>SUM(D41:D49)</f>
        <v>0</v>
      </c>
      <c r="E40" s="151">
        <f t="shared" si="7"/>
        <v>26104186</v>
      </c>
      <c r="F40" s="31">
        <f>SUM(F41:F49)</f>
        <v>0</v>
      </c>
      <c r="G40" s="151">
        <f t="shared" si="8"/>
        <v>0</v>
      </c>
      <c r="H40" s="32">
        <f t="shared" si="9"/>
        <v>0</v>
      </c>
      <c r="I40" s="32">
        <f t="shared" si="6"/>
        <v>0</v>
      </c>
      <c r="L40" s="53"/>
      <c r="S40" s="28"/>
      <c r="T40" s="28"/>
      <c r="U40" s="28"/>
      <c r="V40" s="28"/>
      <c r="W40" s="28"/>
      <c r="X40" s="28"/>
      <c r="Y40" s="28"/>
      <c r="Z40" s="28"/>
    </row>
    <row r="41" spans="1:26" x14ac:dyDescent="0.25">
      <c r="A41" s="19" t="s">
        <v>35</v>
      </c>
      <c r="B41" s="21" t="s">
        <v>36</v>
      </c>
      <c r="C41" s="18">
        <v>934210</v>
      </c>
      <c r="D41" s="18">
        <v>0</v>
      </c>
      <c r="E41" s="150">
        <f t="shared" si="7"/>
        <v>934210</v>
      </c>
      <c r="F41" s="18">
        <v>0</v>
      </c>
      <c r="G41" s="150">
        <f t="shared" si="8"/>
        <v>0</v>
      </c>
      <c r="H41" s="12">
        <f t="shared" si="9"/>
        <v>0</v>
      </c>
      <c r="I41" s="12">
        <f t="shared" si="6"/>
        <v>0</v>
      </c>
      <c r="S41" s="28"/>
      <c r="T41" s="28"/>
      <c r="U41" s="28"/>
      <c r="V41" s="28"/>
      <c r="W41" s="28"/>
      <c r="X41" s="28"/>
      <c r="Y41" s="28"/>
      <c r="Z41" s="28"/>
    </row>
    <row r="42" spans="1:26" x14ac:dyDescent="0.25">
      <c r="A42" s="19" t="s">
        <v>269</v>
      </c>
      <c r="B42" s="21" t="s">
        <v>270</v>
      </c>
      <c r="C42" s="18">
        <v>4198545</v>
      </c>
      <c r="D42" s="18">
        <v>0</v>
      </c>
      <c r="E42" s="150">
        <f t="shared" si="7"/>
        <v>4198545</v>
      </c>
      <c r="F42" s="18">
        <v>0</v>
      </c>
      <c r="G42" s="150">
        <f t="shared" si="8"/>
        <v>0</v>
      </c>
      <c r="H42" s="12">
        <f t="shared" si="9"/>
        <v>0</v>
      </c>
      <c r="I42" s="12">
        <f t="shared" si="6"/>
        <v>0</v>
      </c>
      <c r="S42" s="28"/>
      <c r="T42" s="28"/>
      <c r="U42" s="28"/>
      <c r="V42" s="28"/>
      <c r="W42" s="28"/>
      <c r="X42" s="28"/>
      <c r="Y42" s="28"/>
      <c r="Z42" s="28"/>
    </row>
    <row r="43" spans="1:26" x14ac:dyDescent="0.25">
      <c r="A43" s="19" t="s">
        <v>37</v>
      </c>
      <c r="B43" s="21" t="s">
        <v>38</v>
      </c>
      <c r="C43" s="18">
        <v>3370938</v>
      </c>
      <c r="D43" s="18">
        <v>0</v>
      </c>
      <c r="E43" s="150">
        <f t="shared" si="7"/>
        <v>3370938</v>
      </c>
      <c r="F43" s="18">
        <v>0</v>
      </c>
      <c r="G43" s="150">
        <f t="shared" si="8"/>
        <v>0</v>
      </c>
      <c r="H43" s="12">
        <f t="shared" si="9"/>
        <v>0</v>
      </c>
      <c r="I43" s="12">
        <f t="shared" si="6"/>
        <v>0</v>
      </c>
      <c r="S43" s="28"/>
      <c r="T43" s="28"/>
      <c r="U43" s="28"/>
      <c r="V43" s="28"/>
      <c r="W43" s="28"/>
      <c r="X43" s="28"/>
      <c r="Y43" s="28"/>
      <c r="Z43" s="28"/>
    </row>
    <row r="44" spans="1:26" x14ac:dyDescent="0.25">
      <c r="A44" s="19" t="s">
        <v>39</v>
      </c>
      <c r="B44" s="21" t="s">
        <v>40</v>
      </c>
      <c r="C44" s="18">
        <v>3657784</v>
      </c>
      <c r="D44" s="18">
        <v>0</v>
      </c>
      <c r="E44" s="150">
        <f t="shared" si="7"/>
        <v>3657784</v>
      </c>
      <c r="F44" s="18">
        <v>0</v>
      </c>
      <c r="G44" s="150">
        <f t="shared" si="8"/>
        <v>0</v>
      </c>
      <c r="H44" s="12">
        <f t="shared" si="9"/>
        <v>0</v>
      </c>
      <c r="I44" s="12">
        <f t="shared" si="6"/>
        <v>0</v>
      </c>
      <c r="S44" s="28"/>
      <c r="T44" s="28"/>
      <c r="U44" s="28"/>
      <c r="V44" s="28"/>
      <c r="W44" s="28"/>
      <c r="X44" s="28"/>
      <c r="Y44" s="28"/>
      <c r="Z44" s="28"/>
    </row>
    <row r="45" spans="1:26" x14ac:dyDescent="0.25">
      <c r="A45" s="19" t="s">
        <v>41</v>
      </c>
      <c r="B45" s="21" t="s">
        <v>42</v>
      </c>
      <c r="C45" s="18">
        <v>2292892</v>
      </c>
      <c r="D45" s="18">
        <v>0</v>
      </c>
      <c r="E45" s="150">
        <f t="shared" si="7"/>
        <v>2292892</v>
      </c>
      <c r="F45" s="18">
        <v>0</v>
      </c>
      <c r="G45" s="150">
        <f t="shared" si="8"/>
        <v>0</v>
      </c>
      <c r="H45" s="12">
        <f t="shared" si="9"/>
        <v>0</v>
      </c>
      <c r="I45" s="12">
        <f t="shared" si="6"/>
        <v>0</v>
      </c>
      <c r="S45" s="28"/>
      <c r="T45" s="28"/>
      <c r="U45" s="28"/>
      <c r="V45" s="28"/>
      <c r="W45" s="28"/>
      <c r="X45" s="28"/>
      <c r="Y45" s="28"/>
      <c r="Z45" s="28"/>
    </row>
    <row r="46" spans="1:26" x14ac:dyDescent="0.25">
      <c r="A46" s="19" t="s">
        <v>43</v>
      </c>
      <c r="B46" s="21" t="s">
        <v>44</v>
      </c>
      <c r="C46" s="18">
        <v>4442097</v>
      </c>
      <c r="D46" s="18">
        <v>0</v>
      </c>
      <c r="E46" s="150">
        <f t="shared" si="7"/>
        <v>4442097</v>
      </c>
      <c r="F46" s="18">
        <v>0</v>
      </c>
      <c r="G46" s="150">
        <f t="shared" si="8"/>
        <v>0</v>
      </c>
      <c r="H46" s="12">
        <f t="shared" si="9"/>
        <v>0</v>
      </c>
      <c r="I46" s="12">
        <f t="shared" si="6"/>
        <v>0</v>
      </c>
      <c r="J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5">
      <c r="A47" s="19" t="s">
        <v>45</v>
      </c>
      <c r="B47" s="21" t="s">
        <v>46</v>
      </c>
      <c r="C47" s="18">
        <v>4042578</v>
      </c>
      <c r="D47" s="18">
        <v>0</v>
      </c>
      <c r="E47" s="150">
        <f t="shared" si="7"/>
        <v>4042578</v>
      </c>
      <c r="F47" s="18">
        <v>0</v>
      </c>
      <c r="G47" s="150">
        <f t="shared" si="8"/>
        <v>0</v>
      </c>
      <c r="H47" s="12">
        <f t="shared" si="9"/>
        <v>0</v>
      </c>
      <c r="I47" s="12">
        <f t="shared" si="6"/>
        <v>0</v>
      </c>
      <c r="J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5">
      <c r="A48" s="19" t="s">
        <v>47</v>
      </c>
      <c r="B48" s="21" t="s">
        <v>48</v>
      </c>
      <c r="C48" s="18">
        <v>1358713</v>
      </c>
      <c r="D48" s="18">
        <v>0</v>
      </c>
      <c r="E48" s="150">
        <f t="shared" si="7"/>
        <v>1358713</v>
      </c>
      <c r="F48" s="18">
        <v>0</v>
      </c>
      <c r="G48" s="150">
        <f t="shared" si="8"/>
        <v>0</v>
      </c>
      <c r="H48" s="12">
        <f t="shared" si="9"/>
        <v>0</v>
      </c>
      <c r="I48" s="12">
        <f t="shared" si="6"/>
        <v>0</v>
      </c>
      <c r="S48" s="28"/>
      <c r="T48" s="28"/>
      <c r="U48" s="28"/>
      <c r="V48" s="28"/>
      <c r="W48" s="28"/>
      <c r="X48" s="28"/>
      <c r="Y48" s="28"/>
      <c r="Z48" s="28"/>
    </row>
    <row r="49" spans="1:26" x14ac:dyDescent="0.25">
      <c r="A49" s="34" t="s">
        <v>49</v>
      </c>
      <c r="B49" s="34" t="s">
        <v>50</v>
      </c>
      <c r="C49" s="18">
        <v>1806429</v>
      </c>
      <c r="D49" s="18">
        <v>0</v>
      </c>
      <c r="E49" s="150">
        <f t="shared" si="7"/>
        <v>1806429</v>
      </c>
      <c r="F49" s="18">
        <v>0</v>
      </c>
      <c r="G49" s="150">
        <f t="shared" si="8"/>
        <v>0</v>
      </c>
      <c r="H49" s="12">
        <f t="shared" si="9"/>
        <v>0</v>
      </c>
      <c r="I49" s="12">
        <f t="shared" si="6"/>
        <v>0</v>
      </c>
      <c r="S49" s="28"/>
      <c r="T49" s="28"/>
      <c r="U49" s="28"/>
      <c r="V49" s="28"/>
      <c r="W49" s="28"/>
      <c r="X49" s="28"/>
      <c r="Y49" s="28"/>
      <c r="Z49" s="28"/>
    </row>
    <row r="50" spans="1:26" s="33" customFormat="1" x14ac:dyDescent="0.25">
      <c r="A50" s="29" t="s">
        <v>51</v>
      </c>
      <c r="B50" s="30" t="s">
        <v>52</v>
      </c>
      <c r="C50" s="31">
        <f>SUM(C51:C52)</f>
        <v>5733128</v>
      </c>
      <c r="D50" s="31">
        <f>SUM(D51:D52)</f>
        <v>0</v>
      </c>
      <c r="E50" s="151">
        <f t="shared" si="7"/>
        <v>5733128</v>
      </c>
      <c r="F50" s="31">
        <f>SUM(F51:F52)</f>
        <v>0</v>
      </c>
      <c r="G50" s="151">
        <f t="shared" si="8"/>
        <v>0</v>
      </c>
      <c r="H50" s="32">
        <f t="shared" si="9"/>
        <v>0</v>
      </c>
      <c r="I50" s="32">
        <f t="shared" si="6"/>
        <v>0</v>
      </c>
      <c r="S50" s="28"/>
      <c r="T50" s="28"/>
      <c r="U50" s="28"/>
      <c r="V50" s="28"/>
      <c r="W50" s="28"/>
      <c r="X50" s="28"/>
      <c r="Y50" s="28"/>
      <c r="Z50" s="28"/>
    </row>
    <row r="51" spans="1:26" x14ac:dyDescent="0.25">
      <c r="A51" s="19" t="s">
        <v>203</v>
      </c>
      <c r="B51" s="21" t="s">
        <v>204</v>
      </c>
      <c r="C51" s="18">
        <v>4582763</v>
      </c>
      <c r="D51" s="18">
        <v>0</v>
      </c>
      <c r="E51" s="150">
        <f t="shared" si="7"/>
        <v>4582763</v>
      </c>
      <c r="F51" s="18">
        <v>0</v>
      </c>
      <c r="G51" s="150">
        <f t="shared" si="8"/>
        <v>0</v>
      </c>
      <c r="H51" s="12">
        <f t="shared" si="9"/>
        <v>0</v>
      </c>
      <c r="I51" s="12">
        <f t="shared" si="6"/>
        <v>0</v>
      </c>
      <c r="S51" s="28"/>
      <c r="T51" s="28"/>
      <c r="U51" s="28"/>
      <c r="V51" s="28"/>
      <c r="W51" s="28"/>
      <c r="X51" s="28"/>
      <c r="Y51" s="28"/>
      <c r="Z51" s="28"/>
    </row>
    <row r="52" spans="1:26" x14ac:dyDescent="0.25">
      <c r="A52" s="19" t="s">
        <v>53</v>
      </c>
      <c r="B52" s="21" t="s">
        <v>54</v>
      </c>
      <c r="C52" s="18">
        <v>1150365</v>
      </c>
      <c r="D52" s="18">
        <v>0</v>
      </c>
      <c r="E52" s="150">
        <f t="shared" si="7"/>
        <v>1150365</v>
      </c>
      <c r="F52" s="18">
        <v>0</v>
      </c>
      <c r="G52" s="150">
        <f t="shared" si="8"/>
        <v>0</v>
      </c>
      <c r="H52" s="12">
        <f t="shared" si="9"/>
        <v>0</v>
      </c>
      <c r="I52" s="12">
        <f t="shared" si="6"/>
        <v>0</v>
      </c>
      <c r="S52" s="28"/>
      <c r="T52" s="28"/>
      <c r="U52" s="28"/>
      <c r="V52" s="28"/>
      <c r="W52" s="28"/>
      <c r="X52" s="28"/>
      <c r="Y52" s="28"/>
      <c r="Z52" s="28"/>
    </row>
    <row r="53" spans="1:26" s="33" customFormat="1" x14ac:dyDescent="0.25">
      <c r="A53" s="29" t="s">
        <v>55</v>
      </c>
      <c r="B53" s="30" t="s">
        <v>56</v>
      </c>
      <c r="C53" s="31">
        <f>SUM(C54:C63)</f>
        <v>46035370</v>
      </c>
      <c r="D53" s="31">
        <f>SUM(D54:D63)</f>
        <v>8048269</v>
      </c>
      <c r="E53" s="151">
        <f t="shared" si="7"/>
        <v>37987101</v>
      </c>
      <c r="F53" s="31">
        <f>SUM(F54:F63)</f>
        <v>1457357</v>
      </c>
      <c r="G53" s="151">
        <f t="shared" si="8"/>
        <v>6590912</v>
      </c>
      <c r="H53" s="32">
        <f t="shared" si="9"/>
        <v>0.17482794208018748</v>
      </c>
      <c r="I53" s="32">
        <f t="shared" si="6"/>
        <v>3.1657332177410541E-2</v>
      </c>
      <c r="S53" s="28"/>
      <c r="T53" s="28"/>
      <c r="U53" s="28"/>
      <c r="V53" s="28"/>
      <c r="W53" s="28"/>
      <c r="X53" s="28"/>
      <c r="Y53" s="28"/>
      <c r="Z53" s="28"/>
    </row>
    <row r="54" spans="1:26" x14ac:dyDescent="0.25">
      <c r="A54" s="19" t="s">
        <v>57</v>
      </c>
      <c r="B54" s="21" t="s">
        <v>58</v>
      </c>
      <c r="C54" s="18">
        <v>12460006</v>
      </c>
      <c r="D54" s="18">
        <v>2206243</v>
      </c>
      <c r="E54" s="150">
        <f t="shared" si="7"/>
        <v>10253763</v>
      </c>
      <c r="F54" s="18">
        <v>597097</v>
      </c>
      <c r="G54" s="150">
        <f t="shared" si="8"/>
        <v>1609146</v>
      </c>
      <c r="H54" s="12">
        <f t="shared" si="9"/>
        <v>0.17706596609985581</v>
      </c>
      <c r="I54" s="12">
        <f t="shared" si="6"/>
        <v>4.7921084468177624E-2</v>
      </c>
      <c r="K54" s="28"/>
      <c r="S54" s="28"/>
      <c r="T54" s="28"/>
      <c r="U54" s="28"/>
      <c r="V54" s="28"/>
      <c r="W54" s="28"/>
      <c r="X54" s="28"/>
      <c r="Y54" s="28"/>
      <c r="Z54" s="28"/>
    </row>
    <row r="55" spans="1:26" ht="14.25" customHeight="1" x14ac:dyDescent="0.25">
      <c r="A55" s="19" t="s">
        <v>59</v>
      </c>
      <c r="B55" s="21" t="s">
        <v>60</v>
      </c>
      <c r="C55" s="18">
        <v>3723066</v>
      </c>
      <c r="D55" s="18">
        <v>3296130</v>
      </c>
      <c r="E55" s="150">
        <f t="shared" si="7"/>
        <v>426936</v>
      </c>
      <c r="F55" s="18">
        <v>440519</v>
      </c>
      <c r="G55" s="150">
        <f t="shared" si="8"/>
        <v>2855611</v>
      </c>
      <c r="H55" s="154">
        <f t="shared" si="9"/>
        <v>0.88532677100003065</v>
      </c>
      <c r="I55" s="154">
        <f t="shared" si="6"/>
        <v>0.11832156615004945</v>
      </c>
      <c r="S55" s="28"/>
      <c r="T55" s="28"/>
      <c r="U55" s="28"/>
      <c r="V55" s="28"/>
      <c r="W55" s="28"/>
      <c r="X55" s="28"/>
      <c r="Y55" s="28"/>
      <c r="Z55" s="28"/>
    </row>
    <row r="56" spans="1:26" x14ac:dyDescent="0.25">
      <c r="A56" s="19" t="s">
        <v>61</v>
      </c>
      <c r="B56" s="21" t="s">
        <v>62</v>
      </c>
      <c r="C56" s="18">
        <v>1977927</v>
      </c>
      <c r="D56" s="18">
        <v>83120</v>
      </c>
      <c r="E56" s="150">
        <f t="shared" si="7"/>
        <v>1894807</v>
      </c>
      <c r="F56" s="18">
        <v>19471</v>
      </c>
      <c r="G56" s="150">
        <f t="shared" si="8"/>
        <v>63649</v>
      </c>
      <c r="H56" s="12">
        <f t="shared" si="9"/>
        <v>4.2023795620364152E-2</v>
      </c>
      <c r="I56" s="12">
        <f t="shared" si="6"/>
        <v>9.8441449052467551E-3</v>
      </c>
      <c r="S56" s="28"/>
      <c r="T56" s="28"/>
      <c r="U56" s="28"/>
      <c r="V56" s="28"/>
      <c r="W56" s="28"/>
      <c r="X56" s="28"/>
      <c r="Y56" s="28"/>
      <c r="Z56" s="28"/>
    </row>
    <row r="57" spans="1:26" x14ac:dyDescent="0.25">
      <c r="A57" s="19" t="s">
        <v>63</v>
      </c>
      <c r="B57" s="21" t="s">
        <v>324</v>
      </c>
      <c r="C57" s="18">
        <v>6909500</v>
      </c>
      <c r="D57" s="18">
        <v>232342</v>
      </c>
      <c r="E57" s="150">
        <f t="shared" si="7"/>
        <v>6677158</v>
      </c>
      <c r="F57" s="18">
        <v>56785</v>
      </c>
      <c r="G57" s="150">
        <f t="shared" si="8"/>
        <v>175557</v>
      </c>
      <c r="H57" s="12">
        <f t="shared" si="9"/>
        <v>3.3626456328243723E-2</v>
      </c>
      <c r="I57" s="12">
        <f t="shared" si="6"/>
        <v>8.2183949634561104E-3</v>
      </c>
      <c r="S57" s="28"/>
      <c r="T57" s="28"/>
      <c r="U57" s="28"/>
      <c r="V57" s="28"/>
      <c r="W57" s="28"/>
      <c r="X57" s="28"/>
      <c r="Y57" s="28"/>
      <c r="Z57" s="28"/>
    </row>
    <row r="58" spans="1:26" x14ac:dyDescent="0.25">
      <c r="A58" s="19" t="s">
        <v>64</v>
      </c>
      <c r="B58" s="21" t="s">
        <v>325</v>
      </c>
      <c r="C58" s="18">
        <v>3244138</v>
      </c>
      <c r="D58" s="18">
        <v>1604103</v>
      </c>
      <c r="E58" s="150">
        <f t="shared" si="7"/>
        <v>1640035</v>
      </c>
      <c r="F58" s="18">
        <v>243939</v>
      </c>
      <c r="G58" s="150">
        <f t="shared" si="8"/>
        <v>1360164</v>
      </c>
      <c r="H58" s="12">
        <f t="shared" si="9"/>
        <v>0.49446201117215111</v>
      </c>
      <c r="I58" s="12">
        <f t="shared" si="6"/>
        <v>7.5193780289247864E-2</v>
      </c>
      <c r="S58" s="28"/>
      <c r="T58" s="28"/>
      <c r="U58" s="28"/>
      <c r="V58" s="28"/>
      <c r="W58" s="28"/>
      <c r="X58" s="28"/>
      <c r="Y58" s="28"/>
      <c r="Z58" s="28"/>
    </row>
    <row r="59" spans="1:26" x14ac:dyDescent="0.25">
      <c r="A59" s="19" t="s">
        <v>65</v>
      </c>
      <c r="B59" s="21" t="s">
        <v>326</v>
      </c>
      <c r="C59" s="18">
        <v>12945990</v>
      </c>
      <c r="D59" s="18">
        <v>332975</v>
      </c>
      <c r="E59" s="150">
        <f t="shared" si="7"/>
        <v>12613015</v>
      </c>
      <c r="F59" s="18">
        <v>31218</v>
      </c>
      <c r="G59" s="150">
        <f t="shared" si="8"/>
        <v>301757</v>
      </c>
      <c r="H59" s="12">
        <f t="shared" si="9"/>
        <v>2.5720319573860322E-2</v>
      </c>
      <c r="I59" s="12">
        <f t="shared" si="6"/>
        <v>2.4114030676680577E-3</v>
      </c>
      <c r="S59" s="28"/>
      <c r="T59" s="28"/>
      <c r="U59" s="28"/>
      <c r="V59" s="28"/>
      <c r="W59" s="28"/>
      <c r="X59" s="28"/>
      <c r="Y59" s="28"/>
      <c r="Z59" s="28"/>
    </row>
    <row r="60" spans="1:26" x14ac:dyDescent="0.25">
      <c r="A60" s="19" t="s">
        <v>66</v>
      </c>
      <c r="B60" s="21" t="s">
        <v>67</v>
      </c>
      <c r="C60" s="18">
        <v>1407850</v>
      </c>
      <c r="D60" s="18">
        <v>120080</v>
      </c>
      <c r="E60" s="150">
        <f t="shared" si="7"/>
        <v>1287770</v>
      </c>
      <c r="F60" s="18">
        <v>22314</v>
      </c>
      <c r="G60" s="150">
        <f t="shared" si="8"/>
        <v>97766</v>
      </c>
      <c r="H60" s="12">
        <f t="shared" si="9"/>
        <v>8.5293177540220907E-2</v>
      </c>
      <c r="I60" s="12">
        <f t="shared" si="6"/>
        <v>1.5849699897006072E-2</v>
      </c>
      <c r="S60" s="28"/>
      <c r="T60" s="28"/>
      <c r="U60" s="28"/>
      <c r="V60" s="28"/>
      <c r="W60" s="28"/>
      <c r="X60" s="28"/>
      <c r="Y60" s="28"/>
      <c r="Z60" s="28"/>
    </row>
    <row r="61" spans="1:26" x14ac:dyDescent="0.25">
      <c r="A61" s="34" t="s">
        <v>68</v>
      </c>
      <c r="B61" s="21" t="s">
        <v>69</v>
      </c>
      <c r="C61" s="18">
        <v>170080</v>
      </c>
      <c r="D61" s="18">
        <v>13288</v>
      </c>
      <c r="E61" s="150">
        <f t="shared" si="7"/>
        <v>156792</v>
      </c>
      <c r="F61" s="18">
        <v>0</v>
      </c>
      <c r="G61" s="150">
        <f t="shared" si="8"/>
        <v>13288</v>
      </c>
      <c r="H61" s="12">
        <f t="shared" si="9"/>
        <v>7.8127939793038573E-2</v>
      </c>
      <c r="I61" s="12">
        <f t="shared" si="6"/>
        <v>0</v>
      </c>
      <c r="S61" s="28"/>
      <c r="T61" s="28"/>
      <c r="U61" s="28"/>
      <c r="V61" s="28"/>
      <c r="W61" s="28"/>
      <c r="X61" s="28"/>
      <c r="Y61" s="28"/>
      <c r="Z61" s="28"/>
    </row>
    <row r="62" spans="1:26" x14ac:dyDescent="0.25">
      <c r="A62" s="34" t="s">
        <v>191</v>
      </c>
      <c r="B62" s="21" t="s">
        <v>194</v>
      </c>
      <c r="C62" s="18">
        <v>1946697</v>
      </c>
      <c r="D62" s="18">
        <v>159988</v>
      </c>
      <c r="E62" s="150">
        <f t="shared" si="7"/>
        <v>1786709</v>
      </c>
      <c r="F62" s="18">
        <v>46014</v>
      </c>
      <c r="G62" s="150">
        <f t="shared" si="8"/>
        <v>113974</v>
      </c>
      <c r="H62" s="12">
        <f t="shared" si="9"/>
        <v>8.2184335826273935E-2</v>
      </c>
      <c r="I62" s="12">
        <f t="shared" si="6"/>
        <v>2.3636960451472417E-2</v>
      </c>
      <c r="S62" s="28"/>
      <c r="T62" s="28"/>
      <c r="U62" s="28"/>
      <c r="V62" s="28"/>
      <c r="W62" s="28"/>
      <c r="X62" s="28"/>
      <c r="Y62" s="28"/>
      <c r="Z62" s="28"/>
    </row>
    <row r="63" spans="1:26" x14ac:dyDescent="0.25">
      <c r="A63" s="34" t="s">
        <v>327</v>
      </c>
      <c r="B63" s="21" t="s">
        <v>328</v>
      </c>
      <c r="C63" s="18">
        <v>1250116</v>
      </c>
      <c r="D63" s="18">
        <v>0</v>
      </c>
      <c r="E63" s="150">
        <f t="shared" si="7"/>
        <v>1250116</v>
      </c>
      <c r="F63" s="18">
        <v>0</v>
      </c>
      <c r="G63" s="150">
        <f t="shared" si="8"/>
        <v>0</v>
      </c>
      <c r="H63" s="12">
        <f t="shared" si="9"/>
        <v>0</v>
      </c>
      <c r="I63" s="12">
        <f t="shared" si="6"/>
        <v>0</v>
      </c>
      <c r="S63" s="28"/>
      <c r="T63" s="28"/>
      <c r="U63" s="28"/>
      <c r="V63" s="28"/>
      <c r="W63" s="28"/>
      <c r="X63" s="28"/>
      <c r="Y63" s="28"/>
      <c r="Z63" s="28"/>
    </row>
    <row r="64" spans="1:26" x14ac:dyDescent="0.25">
      <c r="A64" s="29" t="s">
        <v>192</v>
      </c>
      <c r="B64" s="30" t="s">
        <v>193</v>
      </c>
      <c r="C64" s="31">
        <f>+C65</f>
        <v>77716</v>
      </c>
      <c r="D64" s="31">
        <f>+D65</f>
        <v>36572</v>
      </c>
      <c r="E64" s="151">
        <f t="shared" si="7"/>
        <v>41144</v>
      </c>
      <c r="F64" s="31">
        <f>+F65</f>
        <v>0</v>
      </c>
      <c r="G64" s="151">
        <f t="shared" si="8"/>
        <v>36572</v>
      </c>
      <c r="H64" s="32">
        <f t="shared" si="9"/>
        <v>0.47058520767924239</v>
      </c>
      <c r="I64" s="32">
        <f t="shared" si="6"/>
        <v>0</v>
      </c>
      <c r="S64" s="28"/>
      <c r="T64" s="28"/>
      <c r="U64" s="28"/>
      <c r="V64" s="28"/>
      <c r="W64" s="28"/>
      <c r="X64" s="28"/>
      <c r="Y64" s="28"/>
      <c r="Z64" s="28"/>
    </row>
    <row r="65" spans="1:26" x14ac:dyDescent="0.25">
      <c r="A65" s="34" t="s">
        <v>195</v>
      </c>
      <c r="B65" s="21" t="s">
        <v>196</v>
      </c>
      <c r="C65" s="18">
        <v>77716</v>
      </c>
      <c r="D65" s="18">
        <v>36572</v>
      </c>
      <c r="E65" s="150">
        <f t="shared" si="7"/>
        <v>41144</v>
      </c>
      <c r="F65" s="18">
        <v>0</v>
      </c>
      <c r="G65" s="150">
        <f t="shared" si="8"/>
        <v>36572</v>
      </c>
      <c r="H65" s="12">
        <f t="shared" si="9"/>
        <v>0.47058520767924239</v>
      </c>
      <c r="I65" s="12">
        <f t="shared" si="6"/>
        <v>0</v>
      </c>
      <c r="S65" s="28"/>
      <c r="T65" s="28"/>
      <c r="U65" s="28"/>
      <c r="V65" s="28"/>
      <c r="W65" s="28"/>
      <c r="X65" s="28"/>
      <c r="Y65" s="28"/>
      <c r="Z65" s="28"/>
    </row>
    <row r="66" spans="1:26" x14ac:dyDescent="0.25">
      <c r="A66" s="6">
        <v>25</v>
      </c>
      <c r="B66" s="13" t="s">
        <v>70</v>
      </c>
      <c r="C66" s="8">
        <v>744</v>
      </c>
      <c r="D66" s="8">
        <v>0</v>
      </c>
      <c r="E66" s="8">
        <f t="shared" si="7"/>
        <v>744</v>
      </c>
      <c r="F66" s="8">
        <v>0</v>
      </c>
      <c r="G66" s="8">
        <f t="shared" si="8"/>
        <v>0</v>
      </c>
      <c r="H66" s="9">
        <f t="shared" si="9"/>
        <v>0</v>
      </c>
      <c r="I66" s="9">
        <f t="shared" si="6"/>
        <v>0</v>
      </c>
      <c r="S66" s="28"/>
      <c r="T66" s="28"/>
      <c r="U66" s="28"/>
      <c r="V66" s="28"/>
      <c r="W66" s="28"/>
      <c r="X66" s="28"/>
      <c r="Y66" s="28"/>
      <c r="Z66" s="28"/>
    </row>
    <row r="67" spans="1:26" x14ac:dyDescent="0.25">
      <c r="A67" s="49">
        <v>29</v>
      </c>
      <c r="B67" s="15" t="s">
        <v>17</v>
      </c>
      <c r="C67" s="16">
        <f>SUM(C68:C72)</f>
        <v>988324</v>
      </c>
      <c r="D67" s="16">
        <f>SUM(D68:D72)</f>
        <v>20899</v>
      </c>
      <c r="E67" s="8">
        <f t="shared" si="7"/>
        <v>967425</v>
      </c>
      <c r="F67" s="16">
        <f>SUM(F68:F72)</f>
        <v>547</v>
      </c>
      <c r="G67" s="8">
        <f t="shared" si="8"/>
        <v>20352</v>
      </c>
      <c r="H67" s="9">
        <f t="shared" si="9"/>
        <v>2.1145899522828547E-2</v>
      </c>
      <c r="I67" s="9">
        <f t="shared" si="6"/>
        <v>5.5346222493838054E-4</v>
      </c>
      <c r="S67" s="28"/>
      <c r="T67" s="28"/>
      <c r="U67" s="28"/>
      <c r="V67" s="28"/>
      <c r="W67" s="28"/>
      <c r="X67" s="28"/>
      <c r="Y67" s="28"/>
      <c r="Z67" s="28"/>
    </row>
    <row r="68" spans="1:26" x14ac:dyDescent="0.25">
      <c r="A68" s="50" t="s">
        <v>18</v>
      </c>
      <c r="B68" s="17" t="s">
        <v>19</v>
      </c>
      <c r="C68" s="20">
        <v>63780</v>
      </c>
      <c r="D68" s="20">
        <v>0</v>
      </c>
      <c r="E68" s="150">
        <f t="shared" si="7"/>
        <v>63780</v>
      </c>
      <c r="F68" s="20">
        <v>0</v>
      </c>
      <c r="G68" s="150">
        <f t="shared" si="8"/>
        <v>0</v>
      </c>
      <c r="H68" s="12">
        <f t="shared" si="9"/>
        <v>0</v>
      </c>
      <c r="I68" s="12">
        <f t="shared" si="6"/>
        <v>0</v>
      </c>
      <c r="J68" t="s">
        <v>81</v>
      </c>
      <c r="S68" s="28"/>
      <c r="T68" s="28"/>
      <c r="U68" s="28"/>
      <c r="V68" s="28"/>
      <c r="W68" s="28"/>
      <c r="X68" s="28"/>
      <c r="Y68" s="28"/>
      <c r="Z68" s="28"/>
    </row>
    <row r="69" spans="1:26" x14ac:dyDescent="0.25">
      <c r="A69" s="50" t="s">
        <v>20</v>
      </c>
      <c r="B69" s="17" t="s">
        <v>21</v>
      </c>
      <c r="C69" s="20">
        <v>95670</v>
      </c>
      <c r="D69" s="20">
        <v>0</v>
      </c>
      <c r="E69" s="150">
        <f t="shared" si="7"/>
        <v>95670</v>
      </c>
      <c r="F69" s="20">
        <v>0</v>
      </c>
      <c r="G69" s="150">
        <f t="shared" si="8"/>
        <v>0</v>
      </c>
      <c r="H69" s="12">
        <f t="shared" si="9"/>
        <v>0</v>
      </c>
      <c r="I69" s="12">
        <f t="shared" si="6"/>
        <v>0</v>
      </c>
      <c r="S69" s="28"/>
      <c r="T69" s="28"/>
      <c r="U69" s="28"/>
      <c r="V69" s="28"/>
      <c r="W69" s="28"/>
      <c r="X69" s="28"/>
      <c r="Y69" s="28"/>
      <c r="Z69" s="28"/>
    </row>
    <row r="70" spans="1:26" x14ac:dyDescent="0.25">
      <c r="A70" s="19" t="s">
        <v>22</v>
      </c>
      <c r="B70" s="21" t="s">
        <v>23</v>
      </c>
      <c r="C70" s="18">
        <v>53150</v>
      </c>
      <c r="D70" s="18">
        <v>1452</v>
      </c>
      <c r="E70" s="150">
        <f t="shared" si="7"/>
        <v>51698</v>
      </c>
      <c r="F70" s="18">
        <v>0</v>
      </c>
      <c r="G70" s="150">
        <f t="shared" si="8"/>
        <v>1452</v>
      </c>
      <c r="H70" s="12">
        <f t="shared" si="9"/>
        <v>2.7318908748824082E-2</v>
      </c>
      <c r="I70" s="12">
        <f t="shared" si="6"/>
        <v>0</v>
      </c>
      <c r="S70" s="28"/>
      <c r="T70" s="28"/>
      <c r="U70" s="28"/>
      <c r="V70" s="28"/>
      <c r="W70" s="28"/>
      <c r="X70" s="28"/>
      <c r="Y70" s="28"/>
      <c r="Z70" s="28"/>
    </row>
    <row r="71" spans="1:26" x14ac:dyDescent="0.25">
      <c r="A71" s="19" t="s">
        <v>24</v>
      </c>
      <c r="B71" s="21" t="s">
        <v>25</v>
      </c>
      <c r="C71" s="18">
        <v>159450</v>
      </c>
      <c r="D71" s="18">
        <v>0</v>
      </c>
      <c r="E71" s="150">
        <f t="shared" si="7"/>
        <v>159450</v>
      </c>
      <c r="F71" s="18">
        <v>0</v>
      </c>
      <c r="G71" s="150">
        <f t="shared" si="8"/>
        <v>0</v>
      </c>
      <c r="H71" s="12">
        <f t="shared" si="9"/>
        <v>0</v>
      </c>
      <c r="I71" s="12">
        <f t="shared" si="6"/>
        <v>0</v>
      </c>
      <c r="S71" s="28"/>
      <c r="T71" s="28"/>
      <c r="U71" s="28"/>
      <c r="V71" s="28"/>
      <c r="W71" s="28"/>
      <c r="X71" s="28"/>
      <c r="Y71" s="28"/>
      <c r="Z71" s="28"/>
    </row>
    <row r="72" spans="1:26" x14ac:dyDescent="0.25">
      <c r="A72" s="19" t="s">
        <v>26</v>
      </c>
      <c r="B72" s="21" t="s">
        <v>27</v>
      </c>
      <c r="C72" s="18">
        <v>616274</v>
      </c>
      <c r="D72" s="18">
        <v>19447</v>
      </c>
      <c r="E72" s="150">
        <f t="shared" si="7"/>
        <v>596827</v>
      </c>
      <c r="F72" s="18">
        <v>547</v>
      </c>
      <c r="G72" s="150">
        <f t="shared" si="8"/>
        <v>18900</v>
      </c>
      <c r="H72" s="12">
        <f t="shared" si="9"/>
        <v>3.1555769024816882E-2</v>
      </c>
      <c r="I72" s="12">
        <f t="shared" si="6"/>
        <v>8.875922073623096E-4</v>
      </c>
      <c r="S72" s="28"/>
      <c r="T72" s="28"/>
      <c r="U72" s="28"/>
      <c r="V72" s="28"/>
      <c r="W72" s="28"/>
      <c r="X72" s="28"/>
      <c r="Y72" s="28"/>
      <c r="Z72" s="28"/>
    </row>
    <row r="73" spans="1:26" x14ac:dyDescent="0.25">
      <c r="A73" s="22">
        <v>31</v>
      </c>
      <c r="B73" s="15" t="s">
        <v>130</v>
      </c>
      <c r="C73" s="8">
        <f>+C74</f>
        <v>1612194</v>
      </c>
      <c r="D73" s="8">
        <f>+D74</f>
        <v>0</v>
      </c>
      <c r="E73" s="8">
        <f t="shared" si="7"/>
        <v>1612194</v>
      </c>
      <c r="F73" s="8">
        <f>+F74</f>
        <v>0</v>
      </c>
      <c r="G73" s="8">
        <f t="shared" si="8"/>
        <v>0</v>
      </c>
      <c r="H73" s="9">
        <f>+D73/C73</f>
        <v>0</v>
      </c>
      <c r="I73" s="9">
        <f t="shared" si="6"/>
        <v>0</v>
      </c>
      <c r="S73" s="28"/>
      <c r="T73" s="28"/>
      <c r="U73" s="28"/>
      <c r="V73" s="28"/>
      <c r="W73" s="28"/>
      <c r="X73" s="28"/>
      <c r="Y73" s="28"/>
      <c r="Z73" s="28"/>
    </row>
    <row r="74" spans="1:26" x14ac:dyDescent="0.25">
      <c r="A74" s="19" t="s">
        <v>72</v>
      </c>
      <c r="B74" s="21" t="s">
        <v>73</v>
      </c>
      <c r="C74" s="18">
        <v>1612194</v>
      </c>
      <c r="D74" s="18">
        <v>0</v>
      </c>
      <c r="E74" s="150">
        <f t="shared" si="7"/>
        <v>1612194</v>
      </c>
      <c r="F74" s="18">
        <v>0</v>
      </c>
      <c r="G74" s="150">
        <f t="shared" si="8"/>
        <v>0</v>
      </c>
      <c r="H74" s="12">
        <f>+D74/C74</f>
        <v>0</v>
      </c>
      <c r="I74" s="12">
        <f t="shared" si="6"/>
        <v>0</v>
      </c>
      <c r="J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5">
      <c r="A75" s="6">
        <v>33</v>
      </c>
      <c r="B75" s="13" t="s">
        <v>74</v>
      </c>
      <c r="C75" s="8">
        <f>+C76</f>
        <v>5492735</v>
      </c>
      <c r="D75" s="8">
        <f>+D76</f>
        <v>0</v>
      </c>
      <c r="E75" s="8">
        <f t="shared" si="7"/>
        <v>5492735</v>
      </c>
      <c r="F75" s="8">
        <f>+F76</f>
        <v>0</v>
      </c>
      <c r="G75" s="8">
        <f t="shared" si="8"/>
        <v>0</v>
      </c>
      <c r="H75" s="9">
        <f t="shared" si="9"/>
        <v>0</v>
      </c>
      <c r="I75" s="9">
        <f t="shared" si="6"/>
        <v>0</v>
      </c>
      <c r="S75" s="28"/>
      <c r="T75" s="28"/>
      <c r="U75" s="28"/>
      <c r="V75" s="28"/>
      <c r="W75" s="28"/>
      <c r="X75" s="28"/>
      <c r="Y75" s="28"/>
      <c r="Z75" s="28"/>
    </row>
    <row r="76" spans="1:26" s="33" customFormat="1" x14ac:dyDescent="0.25">
      <c r="A76" s="29" t="s">
        <v>75</v>
      </c>
      <c r="B76" s="30" t="s">
        <v>56</v>
      </c>
      <c r="C76" s="31">
        <f>+C77</f>
        <v>5492735</v>
      </c>
      <c r="D76" s="31">
        <f>+D77</f>
        <v>0</v>
      </c>
      <c r="E76" s="151">
        <f t="shared" si="7"/>
        <v>5492735</v>
      </c>
      <c r="F76" s="31">
        <f>+F77</f>
        <v>0</v>
      </c>
      <c r="G76" s="151">
        <f t="shared" si="8"/>
        <v>0</v>
      </c>
      <c r="H76" s="32">
        <f t="shared" si="9"/>
        <v>0</v>
      </c>
      <c r="I76" s="32">
        <f t="shared" si="6"/>
        <v>0</v>
      </c>
      <c r="S76" s="28"/>
      <c r="T76" s="28"/>
      <c r="U76" s="28"/>
      <c r="V76" s="28"/>
      <c r="W76" s="28"/>
      <c r="X76" s="28"/>
      <c r="Y76" s="28"/>
      <c r="Z76" s="28"/>
    </row>
    <row r="77" spans="1:26" s="38" customFormat="1" ht="25.5" x14ac:dyDescent="0.25">
      <c r="A77" s="35" t="s">
        <v>76</v>
      </c>
      <c r="B77" s="36" t="s">
        <v>77</v>
      </c>
      <c r="C77" s="18">
        <v>5492735</v>
      </c>
      <c r="D77" s="18">
        <v>0</v>
      </c>
      <c r="E77" s="150">
        <f t="shared" si="7"/>
        <v>5492735</v>
      </c>
      <c r="F77" s="18">
        <v>0</v>
      </c>
      <c r="G77" s="150">
        <f t="shared" si="8"/>
        <v>0</v>
      </c>
      <c r="H77" s="37">
        <f>+D77/C77</f>
        <v>0</v>
      </c>
      <c r="I77" s="37">
        <f t="shared" si="6"/>
        <v>0</v>
      </c>
      <c r="S77" s="28"/>
      <c r="T77" s="28"/>
      <c r="U77" s="28"/>
      <c r="V77" s="28"/>
      <c r="W77" s="28"/>
      <c r="X77" s="28"/>
      <c r="Y77" s="28"/>
      <c r="Z77" s="28"/>
    </row>
    <row r="78" spans="1:26" x14ac:dyDescent="0.25">
      <c r="A78" s="6">
        <v>34</v>
      </c>
      <c r="B78" s="13" t="s">
        <v>78</v>
      </c>
      <c r="C78" s="8">
        <f>+C79</f>
        <v>10</v>
      </c>
      <c r="D78" s="8">
        <f>+D79</f>
        <v>14805424</v>
      </c>
      <c r="E78" s="8">
        <f t="shared" si="7"/>
        <v>-14805414</v>
      </c>
      <c r="F78" s="8">
        <f>+F79</f>
        <v>14805424</v>
      </c>
      <c r="G78" s="8">
        <f t="shared" si="8"/>
        <v>0</v>
      </c>
      <c r="H78" s="9">
        <f>+D78/C78</f>
        <v>1480542.4</v>
      </c>
      <c r="I78" s="9">
        <f t="shared" si="6"/>
        <v>1480542.4</v>
      </c>
      <c r="S78" s="28"/>
      <c r="T78" s="28"/>
      <c r="U78" s="28"/>
      <c r="V78" s="28"/>
      <c r="W78" s="28"/>
      <c r="X78" s="28"/>
      <c r="Y78" s="28"/>
      <c r="Z78" s="28"/>
    </row>
    <row r="79" spans="1:26" ht="15.75" customHeight="1" x14ac:dyDescent="0.25">
      <c r="A79" s="19" t="s">
        <v>79</v>
      </c>
      <c r="B79" s="21" t="s">
        <v>80</v>
      </c>
      <c r="C79" s="18">
        <v>10</v>
      </c>
      <c r="D79" s="18">
        <v>14805424</v>
      </c>
      <c r="E79" s="150">
        <f t="shared" si="7"/>
        <v>-14805414</v>
      </c>
      <c r="F79" s="18">
        <v>14805424</v>
      </c>
      <c r="G79" s="150">
        <f t="shared" si="8"/>
        <v>0</v>
      </c>
      <c r="H79" s="12">
        <f>+D79/C79</f>
        <v>1480542.4</v>
      </c>
      <c r="I79" s="12">
        <f t="shared" si="6"/>
        <v>1480542.4</v>
      </c>
      <c r="S79" s="28"/>
      <c r="T79" s="28"/>
      <c r="U79" s="28"/>
      <c r="V79" s="28"/>
      <c r="W79" s="28"/>
      <c r="X79" s="28"/>
      <c r="Y79" s="28"/>
      <c r="Z79" s="28"/>
    </row>
    <row r="80" spans="1:26" x14ac:dyDescent="0.25">
      <c r="A80" s="23"/>
      <c r="B80" s="24" t="s">
        <v>29</v>
      </c>
      <c r="C80" s="25">
        <f>+C28+C37+C38+C39+C66+C67+C73+C75+C78</f>
        <v>117958046</v>
      </c>
      <c r="D80" s="25">
        <f>+D28+D37+D38+D39+D66+D67+D73+D75+D78</f>
        <v>49444394</v>
      </c>
      <c r="E80" s="25">
        <f>+E28+E37+E38+E39+E66+E67+E73+E75+E78</f>
        <v>68513652</v>
      </c>
      <c r="F80" s="25">
        <f>+F28+F37+F38+F39+F66+F67+F73+F75+F78</f>
        <v>19789603</v>
      </c>
      <c r="G80" s="25">
        <f>+G28+G37+G38+G39+G66+G67+G73+G75+G78</f>
        <v>29654791</v>
      </c>
      <c r="H80" s="26">
        <f>+D80/C80</f>
        <v>0.41916932059047501</v>
      </c>
      <c r="I80" s="26">
        <f>+F80/C80</f>
        <v>0.16776814868567763</v>
      </c>
      <c r="S80" s="28"/>
      <c r="T80" s="28"/>
      <c r="U80" s="28"/>
      <c r="V80" s="28"/>
      <c r="W80" s="28"/>
      <c r="X80" s="28"/>
      <c r="Y80" s="28"/>
      <c r="Z80" s="28"/>
    </row>
    <row r="81" spans="1:8" x14ac:dyDescent="0.25">
      <c r="A81" s="234"/>
      <c r="B81" s="234"/>
      <c r="C81" s="28"/>
      <c r="H81" t="s">
        <v>81</v>
      </c>
    </row>
    <row r="82" spans="1:8" x14ac:dyDescent="0.25">
      <c r="B82" t="s">
        <v>81</v>
      </c>
      <c r="C82" s="28"/>
      <c r="D82" s="28"/>
      <c r="E82" s="28"/>
      <c r="F82" s="28"/>
      <c r="G82" s="28"/>
    </row>
    <row r="84" spans="1:8" x14ac:dyDescent="0.25">
      <c r="C84" s="28"/>
      <c r="D84" s="28"/>
      <c r="E84" s="28"/>
      <c r="F84" s="28"/>
      <c r="G84" s="28"/>
    </row>
    <row r="85" spans="1:8" x14ac:dyDescent="0.25">
      <c r="C85" s="28"/>
    </row>
    <row r="86" spans="1:8" x14ac:dyDescent="0.25">
      <c r="C86" s="28"/>
    </row>
    <row r="87" spans="1:8" x14ac:dyDescent="0.25">
      <c r="C87" s="28"/>
    </row>
    <row r="88" spans="1:8" x14ac:dyDescent="0.25">
      <c r="C88" s="28"/>
    </row>
    <row r="89" spans="1:8" x14ac:dyDescent="0.25">
      <c r="C89" s="28"/>
    </row>
  </sheetData>
  <mergeCells count="3">
    <mergeCell ref="A2:I2"/>
    <mergeCell ref="A3:I3"/>
    <mergeCell ref="A81:B81"/>
  </mergeCells>
  <printOptions horizontalCentered="1"/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outlinePr summaryBelow="0"/>
    <pageSetUpPr fitToPage="1"/>
  </sheetPr>
  <dimension ref="A1:Y48"/>
  <sheetViews>
    <sheetView showGridLines="0" zoomScale="90" zoomScaleNormal="90" workbookViewId="0">
      <selection activeCell="A2" sqref="A2:J2"/>
    </sheetView>
  </sheetViews>
  <sheetFormatPr baseColWidth="10" defaultRowHeight="15" outlineLevelRow="1" x14ac:dyDescent="0.25"/>
  <cols>
    <col min="1" max="1" width="11.42578125" style="27"/>
    <col min="2" max="2" width="45.5703125" customWidth="1"/>
    <col min="3" max="3" width="14.85546875" customWidth="1"/>
    <col min="4" max="4" width="14.7109375" customWidth="1"/>
    <col min="5" max="5" width="16.5703125" customWidth="1"/>
    <col min="6" max="6" width="14.5703125" customWidth="1"/>
    <col min="7" max="7" width="15.7109375" customWidth="1"/>
    <col min="8" max="8" width="13.42578125" customWidth="1"/>
    <col min="9" max="9" width="13.140625" customWidth="1"/>
    <col min="10" max="10" width="10.85546875" customWidth="1"/>
    <col min="11" max="11" width="11.5703125" customWidth="1"/>
    <col min="12" max="17" width="0" hidden="1" customWidth="1"/>
    <col min="18" max="21" width="11.42578125" hidden="1" customWidth="1"/>
    <col min="22" max="22" width="0" hidden="1" customWidth="1"/>
  </cols>
  <sheetData>
    <row r="1" spans="1:25" x14ac:dyDescent="0.25">
      <c r="F1" s="28"/>
    </row>
    <row r="2" spans="1:25" x14ac:dyDescent="0.25">
      <c r="A2" s="233" t="s">
        <v>82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25" x14ac:dyDescent="0.25">
      <c r="A3" s="232" t="s">
        <v>340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25" x14ac:dyDescent="0.25">
      <c r="A4" s="220" t="s">
        <v>315</v>
      </c>
      <c r="C4" s="28"/>
      <c r="D4" s="28"/>
      <c r="F4" s="28"/>
    </row>
    <row r="5" spans="1:25" ht="25.5" x14ac:dyDescent="0.25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5" t="s">
        <v>7</v>
      </c>
      <c r="I5" s="5" t="s">
        <v>329</v>
      </c>
    </row>
    <row r="6" spans="1:25" x14ac:dyDescent="0.25">
      <c r="A6" s="202" t="s">
        <v>298</v>
      </c>
      <c r="B6" s="208" t="s">
        <v>299</v>
      </c>
      <c r="C6" s="209">
        <f>+C7</f>
        <v>50834708</v>
      </c>
      <c r="D6" s="209">
        <f>+D7</f>
        <v>3660127</v>
      </c>
      <c r="E6" s="8">
        <f t="shared" ref="E6:E10" si="0">+C6-D6</f>
        <v>47174581</v>
      </c>
      <c r="F6" s="209">
        <f>+F7</f>
        <v>3649025</v>
      </c>
      <c r="G6" s="209">
        <f t="shared" ref="G6:G10" si="1">+D6-F6</f>
        <v>11102</v>
      </c>
      <c r="H6" s="9">
        <f t="shared" ref="H6:H10" si="2">+D6/C6</f>
        <v>7.2000551276895308E-2</v>
      </c>
      <c r="I6" s="9">
        <f t="shared" ref="I6:I10" si="3">+F6/C6</f>
        <v>7.1782157182844447E-2</v>
      </c>
    </row>
    <row r="7" spans="1:25" s="1" customFormat="1" x14ac:dyDescent="0.25">
      <c r="A7" s="222" t="s">
        <v>300</v>
      </c>
      <c r="B7" s="223" t="s">
        <v>301</v>
      </c>
      <c r="C7" s="224">
        <f>+C8+C9</f>
        <v>50834708</v>
      </c>
      <c r="D7" s="224">
        <f>+D8+D9</f>
        <v>3660127</v>
      </c>
      <c r="E7" s="151">
        <f t="shared" si="0"/>
        <v>47174581</v>
      </c>
      <c r="F7" s="224">
        <f>+F8+F9</f>
        <v>3649025</v>
      </c>
      <c r="G7" s="224">
        <f t="shared" si="1"/>
        <v>11102</v>
      </c>
      <c r="H7" s="32">
        <f t="shared" si="2"/>
        <v>7.2000551276895308E-2</v>
      </c>
      <c r="I7" s="32">
        <f t="shared" si="3"/>
        <v>7.1782157182844447E-2</v>
      </c>
    </row>
    <row r="8" spans="1:25" x14ac:dyDescent="0.25">
      <c r="A8" s="35" t="s">
        <v>302</v>
      </c>
      <c r="B8" s="203" t="s">
        <v>303</v>
      </c>
      <c r="C8" s="11">
        <v>3889773</v>
      </c>
      <c r="D8" s="11">
        <v>164342</v>
      </c>
      <c r="E8" s="150">
        <f t="shared" si="0"/>
        <v>3725431</v>
      </c>
      <c r="F8" s="11">
        <v>164342</v>
      </c>
      <c r="G8" s="11">
        <f t="shared" si="1"/>
        <v>0</v>
      </c>
      <c r="H8" s="12">
        <f t="shared" si="2"/>
        <v>4.2249766245999444E-2</v>
      </c>
      <c r="I8" s="12">
        <f t="shared" si="3"/>
        <v>4.2249766245999444E-2</v>
      </c>
    </row>
    <row r="9" spans="1:25" x14ac:dyDescent="0.25">
      <c r="A9" s="35" t="s">
        <v>304</v>
      </c>
      <c r="B9" s="203" t="s">
        <v>305</v>
      </c>
      <c r="C9" s="11">
        <v>46944935</v>
      </c>
      <c r="D9" s="11">
        <v>3495785</v>
      </c>
      <c r="E9" s="150">
        <f t="shared" si="0"/>
        <v>43449150</v>
      </c>
      <c r="F9" s="11">
        <v>3484683</v>
      </c>
      <c r="G9" s="11">
        <f t="shared" si="1"/>
        <v>11102</v>
      </c>
      <c r="H9" s="12">
        <f t="shared" si="2"/>
        <v>7.4465647891513748E-2</v>
      </c>
      <c r="I9" s="12">
        <f t="shared" si="3"/>
        <v>7.4229158055070271E-2</v>
      </c>
    </row>
    <row r="10" spans="1:25" x14ac:dyDescent="0.25">
      <c r="A10" s="213" t="s">
        <v>310</v>
      </c>
      <c r="B10" s="214" t="s">
        <v>311</v>
      </c>
      <c r="C10" s="209">
        <v>10</v>
      </c>
      <c r="D10" s="209">
        <v>0</v>
      </c>
      <c r="E10" s="16">
        <f t="shared" si="0"/>
        <v>10</v>
      </c>
      <c r="F10" s="209">
        <v>0</v>
      </c>
      <c r="G10" s="209">
        <f t="shared" si="1"/>
        <v>0</v>
      </c>
      <c r="H10" s="9">
        <f t="shared" si="2"/>
        <v>0</v>
      </c>
      <c r="I10" s="9">
        <f t="shared" si="3"/>
        <v>0</v>
      </c>
    </row>
    <row r="11" spans="1:25" x14ac:dyDescent="0.25">
      <c r="A11" s="212"/>
      <c r="B11" s="218" t="s">
        <v>29</v>
      </c>
      <c r="C11" s="219">
        <f>+C6+C10</f>
        <v>50834718</v>
      </c>
      <c r="D11" s="219">
        <f>+D6+D10</f>
        <v>3660127</v>
      </c>
      <c r="E11" s="219">
        <f>+E6+E10</f>
        <v>47174591</v>
      </c>
      <c r="F11" s="219">
        <f>+F6+F10</f>
        <v>3649025</v>
      </c>
      <c r="G11" s="219">
        <f>+G6+G10</f>
        <v>11102</v>
      </c>
      <c r="H11" s="26">
        <f>+D11/C11</f>
        <v>7.2000537113238242E-2</v>
      </c>
      <c r="I11" s="26">
        <f>+F11/C11</f>
        <v>7.1782143062148987E-2</v>
      </c>
    </row>
    <row r="12" spans="1:25" x14ac:dyDescent="0.25">
      <c r="A12" s="215"/>
      <c r="B12" s="216"/>
      <c r="C12" s="217"/>
      <c r="D12" s="217"/>
      <c r="E12" s="217"/>
      <c r="F12" s="217"/>
      <c r="G12" s="217"/>
      <c r="H12" s="221"/>
      <c r="I12" s="221"/>
    </row>
    <row r="13" spans="1:25" x14ac:dyDescent="0.25">
      <c r="A13" s="220" t="s">
        <v>316</v>
      </c>
      <c r="C13" s="28"/>
      <c r="D13" s="28"/>
      <c r="F13" s="28"/>
    </row>
    <row r="14" spans="1:25" ht="25.5" x14ac:dyDescent="0.25">
      <c r="A14" s="2" t="s">
        <v>0</v>
      </c>
      <c r="B14" s="3" t="s">
        <v>1</v>
      </c>
      <c r="C14" s="3" t="s">
        <v>2</v>
      </c>
      <c r="D14" s="3" t="s">
        <v>3</v>
      </c>
      <c r="E14" s="3" t="s">
        <v>4</v>
      </c>
      <c r="F14" s="3" t="s">
        <v>5</v>
      </c>
      <c r="G14" s="4" t="s">
        <v>6</v>
      </c>
      <c r="H14" s="5" t="s">
        <v>7</v>
      </c>
      <c r="I14" s="5" t="s">
        <v>329</v>
      </c>
      <c r="V14" s="28"/>
      <c r="W14" s="28"/>
      <c r="X14" s="28"/>
      <c r="Y14" s="28"/>
    </row>
    <row r="15" spans="1:25" x14ac:dyDescent="0.25">
      <c r="A15" s="6">
        <v>21</v>
      </c>
      <c r="B15" s="7" t="s">
        <v>9</v>
      </c>
      <c r="C15" s="40">
        <f>SUM(C16:C23)</f>
        <v>3889773</v>
      </c>
      <c r="D15" s="40">
        <f>SUM(D16:D23)</f>
        <v>2374206</v>
      </c>
      <c r="E15" s="40">
        <f>+C15-D15</f>
        <v>1515567</v>
      </c>
      <c r="F15" s="40">
        <f>SUM(F16:F23)</f>
        <v>311605</v>
      </c>
      <c r="G15" s="40">
        <f>+D15-F15</f>
        <v>2062601</v>
      </c>
      <c r="H15" s="9">
        <f t="shared" ref="H15:H36" si="4">+D15/C15</f>
        <v>0.61037135071892368</v>
      </c>
      <c r="I15" s="9">
        <f t="shared" ref="I15:I36" si="5">+F15/C15</f>
        <v>8.010878783929036E-2</v>
      </c>
      <c r="J15" s="28"/>
      <c r="Q15" s="28"/>
      <c r="R15" s="28">
        <f t="shared" ref="R15:R36" si="6">C15-D15</f>
        <v>1515567</v>
      </c>
      <c r="S15" s="28">
        <f t="shared" ref="S15:S36" si="7">E15-R15</f>
        <v>0</v>
      </c>
      <c r="T15" s="28">
        <f t="shared" ref="T15:T36" si="8">D15-F15</f>
        <v>2062601</v>
      </c>
      <c r="U15" s="28">
        <f t="shared" ref="U15:U36" si="9">G15-T15</f>
        <v>0</v>
      </c>
      <c r="V15" s="28"/>
      <c r="W15" s="28"/>
      <c r="X15" s="28"/>
      <c r="Y15" s="28"/>
    </row>
    <row r="16" spans="1:25" outlineLevel="1" x14ac:dyDescent="0.25">
      <c r="A16" s="6"/>
      <c r="B16" s="10" t="s">
        <v>10</v>
      </c>
      <c r="C16" s="41">
        <f>3889773-SUM(C17:C23)</f>
        <v>2259500</v>
      </c>
      <c r="D16" s="41">
        <f>2374206-SUM(D18:D23)</f>
        <v>2218972</v>
      </c>
      <c r="E16" s="41">
        <f t="shared" ref="E16:E35" si="10">+C16-D16</f>
        <v>40528</v>
      </c>
      <c r="F16" s="41">
        <f>311605-SUM(F18:F23)</f>
        <v>290914</v>
      </c>
      <c r="G16" s="41">
        <f t="shared" ref="G16:G35" si="11">+D16-F16</f>
        <v>1928058</v>
      </c>
      <c r="H16" s="12">
        <f t="shared" si="4"/>
        <v>0.98206328833812795</v>
      </c>
      <c r="I16" s="12">
        <f t="shared" si="5"/>
        <v>0.12875149369329497</v>
      </c>
      <c r="L16">
        <v>1419002</v>
      </c>
      <c r="M16">
        <v>942081</v>
      </c>
      <c r="N16">
        <v>476921</v>
      </c>
      <c r="O16">
        <v>440626</v>
      </c>
      <c r="P16">
        <v>501455</v>
      </c>
      <c r="Q16" s="28"/>
      <c r="R16" s="28">
        <f t="shared" si="6"/>
        <v>40528</v>
      </c>
      <c r="S16" s="28">
        <f t="shared" si="7"/>
        <v>0</v>
      </c>
      <c r="T16" s="28">
        <f t="shared" si="8"/>
        <v>1928058</v>
      </c>
      <c r="U16" s="28">
        <f t="shared" si="9"/>
        <v>0</v>
      </c>
      <c r="V16" s="28"/>
      <c r="W16" s="28"/>
      <c r="X16" s="28"/>
      <c r="Y16" s="28"/>
    </row>
    <row r="17" spans="1:25" hidden="1" outlineLevel="1" x14ac:dyDescent="0.25">
      <c r="A17" s="6"/>
      <c r="B17" s="10" t="s">
        <v>11</v>
      </c>
      <c r="C17" s="41">
        <v>0</v>
      </c>
      <c r="D17" s="41"/>
      <c r="E17" s="41">
        <f t="shared" si="10"/>
        <v>0</v>
      </c>
      <c r="F17" s="41"/>
      <c r="G17" s="41">
        <f t="shared" si="11"/>
        <v>0</v>
      </c>
      <c r="H17" s="12" t="s">
        <v>111</v>
      </c>
      <c r="I17" s="12" t="s">
        <v>111</v>
      </c>
      <c r="L17">
        <v>10912</v>
      </c>
      <c r="M17">
        <v>10912</v>
      </c>
      <c r="N17">
        <v>0</v>
      </c>
      <c r="O17">
        <v>3637</v>
      </c>
      <c r="P17">
        <v>7275</v>
      </c>
      <c r="Q17" s="28"/>
      <c r="R17" s="28">
        <f t="shared" si="6"/>
        <v>0</v>
      </c>
      <c r="S17" s="28">
        <f t="shared" si="7"/>
        <v>0</v>
      </c>
      <c r="T17" s="28">
        <f t="shared" si="8"/>
        <v>0</v>
      </c>
      <c r="U17" s="28">
        <f t="shared" si="9"/>
        <v>0</v>
      </c>
      <c r="V17" s="28"/>
      <c r="W17" s="28"/>
      <c r="X17" s="28"/>
      <c r="Y17" s="28"/>
    </row>
    <row r="18" spans="1:25" outlineLevel="1" x14ac:dyDescent="0.25">
      <c r="A18" s="6"/>
      <c r="B18" s="10" t="s">
        <v>12</v>
      </c>
      <c r="C18" s="41">
        <v>4407</v>
      </c>
      <c r="D18" s="41">
        <v>2000</v>
      </c>
      <c r="E18" s="41">
        <f t="shared" si="10"/>
        <v>2407</v>
      </c>
      <c r="F18" s="41">
        <v>0</v>
      </c>
      <c r="G18" s="41">
        <f t="shared" si="11"/>
        <v>2000</v>
      </c>
      <c r="H18" s="12">
        <f t="shared" si="4"/>
        <v>0.45382346267302021</v>
      </c>
      <c r="I18" s="12">
        <f t="shared" si="5"/>
        <v>0</v>
      </c>
      <c r="L18">
        <v>5936</v>
      </c>
      <c r="M18">
        <v>5936</v>
      </c>
      <c r="N18">
        <v>0</v>
      </c>
      <c r="O18">
        <v>371</v>
      </c>
      <c r="P18">
        <v>5565</v>
      </c>
      <c r="Q18" s="28"/>
      <c r="R18" s="28">
        <f t="shared" si="6"/>
        <v>2407</v>
      </c>
      <c r="S18" s="28">
        <f t="shared" si="7"/>
        <v>0</v>
      </c>
      <c r="T18" s="28">
        <f t="shared" si="8"/>
        <v>2000</v>
      </c>
      <c r="U18" s="28">
        <f t="shared" si="9"/>
        <v>0</v>
      </c>
      <c r="V18" s="28"/>
      <c r="W18" s="28"/>
      <c r="X18" s="28"/>
      <c r="Y18" s="28"/>
    </row>
    <row r="19" spans="1:25" outlineLevel="1" x14ac:dyDescent="0.25">
      <c r="A19" s="6"/>
      <c r="B19" s="10" t="s">
        <v>13</v>
      </c>
      <c r="C19" s="41">
        <v>31144</v>
      </c>
      <c r="D19" s="41">
        <v>0</v>
      </c>
      <c r="E19" s="41">
        <f t="shared" si="10"/>
        <v>31144</v>
      </c>
      <c r="F19" s="41">
        <v>0</v>
      </c>
      <c r="G19" s="41">
        <f t="shared" si="11"/>
        <v>0</v>
      </c>
      <c r="H19" s="12">
        <f t="shared" si="4"/>
        <v>0</v>
      </c>
      <c r="I19" s="12">
        <f t="shared" si="5"/>
        <v>0</v>
      </c>
      <c r="L19">
        <v>55044</v>
      </c>
      <c r="M19">
        <v>6510</v>
      </c>
      <c r="N19">
        <v>48534</v>
      </c>
      <c r="O19">
        <v>5150</v>
      </c>
      <c r="P19">
        <v>1360</v>
      </c>
      <c r="Q19" s="28"/>
      <c r="R19" s="28">
        <f t="shared" si="6"/>
        <v>31144</v>
      </c>
      <c r="S19" s="28">
        <f t="shared" si="7"/>
        <v>0</v>
      </c>
      <c r="T19" s="28">
        <f t="shared" si="8"/>
        <v>0</v>
      </c>
      <c r="U19" s="28">
        <f t="shared" si="9"/>
        <v>0</v>
      </c>
      <c r="V19" s="28"/>
      <c r="W19" s="28"/>
      <c r="X19" s="28"/>
      <c r="Y19" s="28"/>
    </row>
    <row r="20" spans="1:25" outlineLevel="1" x14ac:dyDescent="0.25">
      <c r="A20" s="6"/>
      <c r="B20" s="10" t="s">
        <v>14</v>
      </c>
      <c r="C20" s="41">
        <v>6522</v>
      </c>
      <c r="D20" s="41">
        <v>1157</v>
      </c>
      <c r="E20" s="41">
        <f t="shared" si="10"/>
        <v>5365</v>
      </c>
      <c r="F20" s="41">
        <v>0</v>
      </c>
      <c r="G20" s="41">
        <f t="shared" si="11"/>
        <v>1157</v>
      </c>
      <c r="H20" s="12">
        <f t="shared" si="4"/>
        <v>0.17739957068383932</v>
      </c>
      <c r="I20" s="12">
        <f t="shared" si="5"/>
        <v>0</v>
      </c>
      <c r="L20">
        <v>13082</v>
      </c>
      <c r="M20">
        <v>0</v>
      </c>
      <c r="N20">
        <v>13082</v>
      </c>
      <c r="O20">
        <v>0</v>
      </c>
      <c r="P20">
        <v>0</v>
      </c>
      <c r="Q20" s="28"/>
      <c r="R20" s="28">
        <f t="shared" si="6"/>
        <v>5365</v>
      </c>
      <c r="S20" s="28">
        <f t="shared" si="7"/>
        <v>0</v>
      </c>
      <c r="T20" s="28">
        <f t="shared" si="8"/>
        <v>1157</v>
      </c>
      <c r="U20" s="28">
        <f t="shared" si="9"/>
        <v>0</v>
      </c>
      <c r="V20" s="28"/>
      <c r="W20" s="28"/>
      <c r="X20" s="28"/>
      <c r="Y20" s="28"/>
    </row>
    <row r="21" spans="1:25" outlineLevel="1" x14ac:dyDescent="0.25">
      <c r="A21" s="6"/>
      <c r="B21" s="10" t="s">
        <v>15</v>
      </c>
      <c r="C21" s="41">
        <v>1488200</v>
      </c>
      <c r="D21" s="41">
        <v>149322</v>
      </c>
      <c r="E21" s="41">
        <f t="shared" si="10"/>
        <v>1338878</v>
      </c>
      <c r="F21" s="41">
        <v>17936</v>
      </c>
      <c r="G21" s="41">
        <f t="shared" si="11"/>
        <v>131386</v>
      </c>
      <c r="H21" s="12">
        <f t="shared" si="4"/>
        <v>0.10033732025265421</v>
      </c>
      <c r="I21" s="12">
        <f t="shared" si="5"/>
        <v>1.2052143529095552E-2</v>
      </c>
      <c r="L21">
        <v>810497</v>
      </c>
      <c r="M21">
        <v>163867</v>
      </c>
      <c r="N21">
        <v>646630</v>
      </c>
      <c r="O21">
        <v>59783</v>
      </c>
      <c r="P21">
        <v>104084</v>
      </c>
      <c r="Q21" s="28"/>
      <c r="R21" s="28">
        <f t="shared" si="6"/>
        <v>1338878</v>
      </c>
      <c r="S21" s="28">
        <f t="shared" si="7"/>
        <v>0</v>
      </c>
      <c r="T21" s="28">
        <f t="shared" si="8"/>
        <v>131386</v>
      </c>
      <c r="U21" s="28">
        <f t="shared" si="9"/>
        <v>0</v>
      </c>
      <c r="V21" s="28"/>
      <c r="W21" s="28"/>
      <c r="X21" s="28"/>
      <c r="Y21" s="28"/>
    </row>
    <row r="22" spans="1:25" outlineLevel="1" x14ac:dyDescent="0.25">
      <c r="A22" s="6"/>
      <c r="B22" s="10" t="s">
        <v>282</v>
      </c>
      <c r="C22" s="41">
        <v>10000</v>
      </c>
      <c r="D22" s="41">
        <v>801</v>
      </c>
      <c r="E22" s="41">
        <f t="shared" si="10"/>
        <v>9199</v>
      </c>
      <c r="F22" s="41">
        <v>801</v>
      </c>
      <c r="G22" s="41">
        <f t="shared" si="11"/>
        <v>0</v>
      </c>
      <c r="H22" s="12">
        <f t="shared" si="4"/>
        <v>8.0100000000000005E-2</v>
      </c>
      <c r="I22" s="12">
        <f t="shared" si="5"/>
        <v>8.0100000000000005E-2</v>
      </c>
      <c r="Q22" s="28"/>
      <c r="R22" s="28"/>
      <c r="S22" s="28"/>
      <c r="T22" s="28">
        <f t="shared" si="8"/>
        <v>0</v>
      </c>
      <c r="U22" s="28">
        <f t="shared" si="9"/>
        <v>0</v>
      </c>
      <c r="V22" s="28"/>
      <c r="W22" s="28"/>
      <c r="X22" s="28"/>
      <c r="Y22" s="28"/>
    </row>
    <row r="23" spans="1:25" outlineLevel="1" x14ac:dyDescent="0.25">
      <c r="A23" s="6"/>
      <c r="B23" s="10" t="s">
        <v>135</v>
      </c>
      <c r="C23" s="41">
        <v>90000</v>
      </c>
      <c r="D23" s="41">
        <v>1954</v>
      </c>
      <c r="E23" s="41">
        <f t="shared" si="10"/>
        <v>88046</v>
      </c>
      <c r="F23" s="41">
        <v>1954</v>
      </c>
      <c r="G23" s="41">
        <f t="shared" si="11"/>
        <v>0</v>
      </c>
      <c r="H23" s="12">
        <f t="shared" si="4"/>
        <v>2.1711111111111112E-2</v>
      </c>
      <c r="I23" s="12">
        <f t="shared" si="5"/>
        <v>2.1711111111111112E-2</v>
      </c>
      <c r="Q23" s="28"/>
      <c r="R23" s="28">
        <f t="shared" si="6"/>
        <v>88046</v>
      </c>
      <c r="S23" s="28">
        <f t="shared" si="7"/>
        <v>0</v>
      </c>
      <c r="T23" s="28">
        <f t="shared" si="8"/>
        <v>0</v>
      </c>
      <c r="U23" s="28">
        <f t="shared" si="9"/>
        <v>0</v>
      </c>
      <c r="V23" s="28"/>
      <c r="W23" s="28"/>
      <c r="X23" s="28"/>
      <c r="Y23" s="28"/>
    </row>
    <row r="24" spans="1:25" x14ac:dyDescent="0.25">
      <c r="A24" s="6">
        <v>22</v>
      </c>
      <c r="B24" s="7" t="s">
        <v>16</v>
      </c>
      <c r="C24" s="40">
        <v>298308</v>
      </c>
      <c r="D24" s="40">
        <v>3344</v>
      </c>
      <c r="E24" s="40">
        <f t="shared" si="10"/>
        <v>294964</v>
      </c>
      <c r="F24" s="40">
        <v>2164</v>
      </c>
      <c r="G24" s="40">
        <f t="shared" si="11"/>
        <v>1180</v>
      </c>
      <c r="H24" s="9">
        <f t="shared" si="4"/>
        <v>1.1209890448797886E-2</v>
      </c>
      <c r="I24" s="9">
        <f t="shared" si="5"/>
        <v>7.2542472880378671E-3</v>
      </c>
      <c r="L24">
        <v>545413</v>
      </c>
      <c r="M24">
        <v>63821</v>
      </c>
      <c r="N24">
        <v>481592</v>
      </c>
      <c r="O24">
        <v>41803</v>
      </c>
      <c r="P24">
        <v>22018</v>
      </c>
      <c r="Q24" s="28"/>
      <c r="R24" s="28">
        <f t="shared" si="6"/>
        <v>294964</v>
      </c>
      <c r="S24" s="28">
        <f t="shared" si="7"/>
        <v>0</v>
      </c>
      <c r="T24" s="28">
        <f t="shared" si="8"/>
        <v>1180</v>
      </c>
      <c r="U24" s="28">
        <f t="shared" si="9"/>
        <v>0</v>
      </c>
      <c r="V24" s="28"/>
      <c r="W24" s="28"/>
      <c r="X24" s="28"/>
      <c r="Y24" s="28"/>
    </row>
    <row r="25" spans="1:25" x14ac:dyDescent="0.25">
      <c r="A25" s="6">
        <v>24</v>
      </c>
      <c r="B25" s="7" t="s">
        <v>32</v>
      </c>
      <c r="C25" s="40">
        <f>+C26+C32</f>
        <v>46646627</v>
      </c>
      <c r="D25" s="40">
        <f>+D26+D32</f>
        <v>11488299</v>
      </c>
      <c r="E25" s="40">
        <f t="shared" si="10"/>
        <v>35158328</v>
      </c>
      <c r="F25" s="40">
        <f>+F26+F32</f>
        <v>5452527</v>
      </c>
      <c r="G25" s="40">
        <f t="shared" si="11"/>
        <v>6035772</v>
      </c>
      <c r="H25" s="9">
        <f t="shared" si="4"/>
        <v>0.24628359516755627</v>
      </c>
      <c r="I25" s="9">
        <f t="shared" si="5"/>
        <v>0.11689005938199991</v>
      </c>
      <c r="L25">
        <v>33108052</v>
      </c>
      <c r="M25">
        <v>21741185</v>
      </c>
      <c r="N25">
        <v>11366867</v>
      </c>
      <c r="O25">
        <v>21257401</v>
      </c>
      <c r="P25">
        <v>483784</v>
      </c>
      <c r="Q25" s="28"/>
      <c r="R25" s="28">
        <f t="shared" si="6"/>
        <v>35158328</v>
      </c>
      <c r="S25" s="28">
        <f t="shared" si="7"/>
        <v>0</v>
      </c>
      <c r="T25" s="28">
        <f t="shared" si="8"/>
        <v>6035772</v>
      </c>
      <c r="U25" s="28">
        <f t="shared" si="9"/>
        <v>0</v>
      </c>
      <c r="V25" s="28"/>
      <c r="W25" s="28"/>
      <c r="X25" s="28"/>
      <c r="Y25" s="28"/>
    </row>
    <row r="26" spans="1:25" x14ac:dyDescent="0.25">
      <c r="A26" s="29" t="s">
        <v>55</v>
      </c>
      <c r="B26" s="42" t="s">
        <v>56</v>
      </c>
      <c r="C26" s="43">
        <f>SUM(C27:C31)</f>
        <v>46103966</v>
      </c>
      <c r="D26" s="43">
        <f>SUM(D27:D31)</f>
        <v>11245738</v>
      </c>
      <c r="E26" s="43">
        <f t="shared" si="10"/>
        <v>34858228</v>
      </c>
      <c r="F26" s="43">
        <f>SUM(F27:F31)</f>
        <v>5307716</v>
      </c>
      <c r="G26" s="43">
        <f t="shared" si="11"/>
        <v>5938022</v>
      </c>
      <c r="H26" s="32">
        <f t="shared" si="4"/>
        <v>0.24392127132837119</v>
      </c>
      <c r="I26" s="32">
        <f t="shared" si="5"/>
        <v>0.11512493306974936</v>
      </c>
      <c r="L26">
        <v>33108052</v>
      </c>
      <c r="M26">
        <v>21741185</v>
      </c>
      <c r="N26">
        <v>11366867</v>
      </c>
      <c r="O26">
        <v>21257401</v>
      </c>
      <c r="P26">
        <v>483784</v>
      </c>
      <c r="Q26" s="28"/>
      <c r="R26" s="28">
        <f t="shared" si="6"/>
        <v>34858228</v>
      </c>
      <c r="S26" s="28">
        <f t="shared" si="7"/>
        <v>0</v>
      </c>
      <c r="T26" s="28">
        <f t="shared" si="8"/>
        <v>5938022</v>
      </c>
      <c r="U26" s="28">
        <f t="shared" si="9"/>
        <v>0</v>
      </c>
      <c r="V26" s="28"/>
      <c r="W26" s="28"/>
      <c r="X26" s="28"/>
      <c r="Y26" s="28"/>
    </row>
    <row r="27" spans="1:25" x14ac:dyDescent="0.25">
      <c r="A27" s="19" t="s">
        <v>83</v>
      </c>
      <c r="B27" s="34" t="s">
        <v>84</v>
      </c>
      <c r="C27" s="41">
        <v>8345381</v>
      </c>
      <c r="D27" s="41">
        <v>2566999</v>
      </c>
      <c r="E27" s="41">
        <f t="shared" si="10"/>
        <v>5778382</v>
      </c>
      <c r="F27" s="41">
        <v>850252</v>
      </c>
      <c r="G27" s="41">
        <f t="shared" si="11"/>
        <v>1716747</v>
      </c>
      <c r="H27" s="12">
        <f t="shared" si="4"/>
        <v>0.30759518349132292</v>
      </c>
      <c r="I27" s="12">
        <f t="shared" si="5"/>
        <v>0.10188294578761593</v>
      </c>
      <c r="L27">
        <v>6815204</v>
      </c>
      <c r="M27">
        <v>3800395</v>
      </c>
      <c r="N27">
        <v>3014809</v>
      </c>
      <c r="O27">
        <v>3563736</v>
      </c>
      <c r="P27">
        <v>236659</v>
      </c>
      <c r="Q27" s="28"/>
      <c r="R27" s="28">
        <f t="shared" si="6"/>
        <v>5778382</v>
      </c>
      <c r="S27" s="28">
        <f t="shared" si="7"/>
        <v>0</v>
      </c>
      <c r="T27" s="28">
        <f t="shared" si="8"/>
        <v>1716747</v>
      </c>
      <c r="U27" s="28">
        <f t="shared" si="9"/>
        <v>0</v>
      </c>
      <c r="V27" s="28"/>
      <c r="W27" s="28"/>
      <c r="X27" s="28"/>
      <c r="Y27" s="28"/>
    </row>
    <row r="28" spans="1:25" x14ac:dyDescent="0.25">
      <c r="A28" s="19" t="s">
        <v>85</v>
      </c>
      <c r="B28" s="34" t="s">
        <v>86</v>
      </c>
      <c r="C28" s="41">
        <v>13897284</v>
      </c>
      <c r="D28" s="41">
        <v>3422022</v>
      </c>
      <c r="E28" s="41">
        <f t="shared" si="10"/>
        <v>10475262</v>
      </c>
      <c r="F28" s="41">
        <v>1772791</v>
      </c>
      <c r="G28" s="41">
        <f t="shared" si="11"/>
        <v>1649231</v>
      </c>
      <c r="H28" s="12">
        <f t="shared" si="4"/>
        <v>0.24623674669093615</v>
      </c>
      <c r="I28" s="12">
        <f t="shared" si="5"/>
        <v>0.12756384628823877</v>
      </c>
      <c r="L28">
        <v>13266671</v>
      </c>
      <c r="M28">
        <v>10481445</v>
      </c>
      <c r="N28">
        <v>2785226</v>
      </c>
      <c r="O28">
        <v>10440764</v>
      </c>
      <c r="P28">
        <v>40681</v>
      </c>
      <c r="Q28" s="28"/>
      <c r="R28" s="28">
        <f t="shared" si="6"/>
        <v>10475262</v>
      </c>
      <c r="S28" s="28">
        <f t="shared" si="7"/>
        <v>0</v>
      </c>
      <c r="T28" s="28">
        <f t="shared" si="8"/>
        <v>1649231</v>
      </c>
      <c r="U28" s="28">
        <f t="shared" si="9"/>
        <v>0</v>
      </c>
      <c r="V28" s="28"/>
      <c r="W28" s="28"/>
      <c r="X28" s="28"/>
      <c r="Y28" s="28"/>
    </row>
    <row r="29" spans="1:25" x14ac:dyDescent="0.25">
      <c r="A29" s="19" t="s">
        <v>87</v>
      </c>
      <c r="B29" s="34" t="s">
        <v>88</v>
      </c>
      <c r="C29" s="41">
        <v>6182993</v>
      </c>
      <c r="D29" s="41">
        <v>1740811</v>
      </c>
      <c r="E29" s="41">
        <f t="shared" si="10"/>
        <v>4442182</v>
      </c>
      <c r="F29" s="41">
        <v>840502</v>
      </c>
      <c r="G29" s="41">
        <f t="shared" si="11"/>
        <v>900309</v>
      </c>
      <c r="H29" s="12">
        <f t="shared" si="4"/>
        <v>0.28154827281868183</v>
      </c>
      <c r="I29" s="12">
        <f t="shared" si="5"/>
        <v>0.13593772465859172</v>
      </c>
      <c r="L29">
        <v>4870889</v>
      </c>
      <c r="M29">
        <v>2381080</v>
      </c>
      <c r="N29">
        <v>2489809</v>
      </c>
      <c r="O29">
        <v>2298740</v>
      </c>
      <c r="P29">
        <v>82340</v>
      </c>
      <c r="Q29" s="28"/>
      <c r="R29" s="28">
        <f t="shared" si="6"/>
        <v>4442182</v>
      </c>
      <c r="S29" s="28">
        <f t="shared" si="7"/>
        <v>0</v>
      </c>
      <c r="T29" s="28">
        <f t="shared" si="8"/>
        <v>900309</v>
      </c>
      <c r="U29" s="28">
        <f t="shared" si="9"/>
        <v>0</v>
      </c>
      <c r="V29" s="28"/>
      <c r="W29" s="28"/>
      <c r="X29" s="28"/>
      <c r="Y29" s="28"/>
    </row>
    <row r="30" spans="1:25" x14ac:dyDescent="0.25">
      <c r="A30" s="19" t="s">
        <v>89</v>
      </c>
      <c r="B30" s="34" t="s">
        <v>90</v>
      </c>
      <c r="C30" s="41">
        <v>12343443</v>
      </c>
      <c r="D30" s="41">
        <v>1798680</v>
      </c>
      <c r="E30" s="41">
        <f t="shared" si="10"/>
        <v>10544763</v>
      </c>
      <c r="F30" s="41">
        <v>908758</v>
      </c>
      <c r="G30" s="41">
        <f t="shared" si="11"/>
        <v>889922</v>
      </c>
      <c r="H30" s="12">
        <f t="shared" si="4"/>
        <v>0.14571947227365978</v>
      </c>
      <c r="I30" s="12">
        <f t="shared" si="5"/>
        <v>7.3622732328411128E-2</v>
      </c>
      <c r="L30">
        <v>8155288</v>
      </c>
      <c r="M30">
        <v>5078265</v>
      </c>
      <c r="N30">
        <v>3077023</v>
      </c>
      <c r="O30">
        <v>4954161</v>
      </c>
      <c r="P30">
        <v>124104</v>
      </c>
      <c r="Q30" s="28"/>
      <c r="R30" s="28">
        <f t="shared" si="6"/>
        <v>10544763</v>
      </c>
      <c r="S30" s="28">
        <f t="shared" si="7"/>
        <v>0</v>
      </c>
      <c r="T30" s="28">
        <f t="shared" si="8"/>
        <v>889922</v>
      </c>
      <c r="U30" s="28">
        <f t="shared" si="9"/>
        <v>0</v>
      </c>
      <c r="V30" s="28"/>
      <c r="W30" s="28"/>
      <c r="X30" s="28"/>
      <c r="Y30" s="28"/>
    </row>
    <row r="31" spans="1:25" x14ac:dyDescent="0.25">
      <c r="A31" s="19" t="s">
        <v>197</v>
      </c>
      <c r="B31" s="34" t="s">
        <v>199</v>
      </c>
      <c r="C31" s="41">
        <v>5334865</v>
      </c>
      <c r="D31" s="41">
        <v>1717226</v>
      </c>
      <c r="E31" s="41">
        <f t="shared" si="10"/>
        <v>3617639</v>
      </c>
      <c r="F31" s="41">
        <v>935413</v>
      </c>
      <c r="G31" s="41">
        <f t="shared" si="11"/>
        <v>781813</v>
      </c>
      <c r="H31" s="12">
        <f t="shared" si="4"/>
        <v>0.32188743295284883</v>
      </c>
      <c r="I31" s="12">
        <f t="shared" si="5"/>
        <v>0.17533958216374734</v>
      </c>
      <c r="Q31" s="28"/>
      <c r="R31" s="28">
        <f t="shared" si="6"/>
        <v>3617639</v>
      </c>
      <c r="S31" s="28">
        <f t="shared" si="7"/>
        <v>0</v>
      </c>
      <c r="T31" s="28">
        <f t="shared" si="8"/>
        <v>781813</v>
      </c>
      <c r="U31" s="28">
        <f t="shared" si="9"/>
        <v>0</v>
      </c>
      <c r="V31" s="28"/>
      <c r="W31" s="28"/>
      <c r="X31" s="28"/>
      <c r="Y31" s="28"/>
    </row>
    <row r="32" spans="1:25" x14ac:dyDescent="0.25">
      <c r="A32" s="29" t="s">
        <v>192</v>
      </c>
      <c r="B32" s="42" t="s">
        <v>193</v>
      </c>
      <c r="C32" s="43">
        <f>+C33</f>
        <v>542661</v>
      </c>
      <c r="D32" s="43">
        <f>+D33</f>
        <v>242561</v>
      </c>
      <c r="E32" s="43">
        <f t="shared" si="10"/>
        <v>300100</v>
      </c>
      <c r="F32" s="43">
        <f>+F33</f>
        <v>144811</v>
      </c>
      <c r="G32" s="43">
        <f t="shared" si="11"/>
        <v>97750</v>
      </c>
      <c r="H32" s="32">
        <f t="shared" si="4"/>
        <v>0.4469843972572195</v>
      </c>
      <c r="I32" s="32">
        <f t="shared" si="5"/>
        <v>0.26685352365473103</v>
      </c>
      <c r="Q32" s="28"/>
      <c r="R32" s="28"/>
      <c r="S32" s="28"/>
      <c r="T32" s="28"/>
      <c r="U32" s="28"/>
      <c r="V32" s="28"/>
      <c r="W32" s="28"/>
      <c r="X32" s="28"/>
      <c r="Y32" s="28"/>
    </row>
    <row r="33" spans="1:25" x14ac:dyDescent="0.25">
      <c r="A33" s="19" t="s">
        <v>195</v>
      </c>
      <c r="B33" s="34" t="s">
        <v>196</v>
      </c>
      <c r="C33" s="41">
        <v>542661</v>
      </c>
      <c r="D33" s="41">
        <v>242561</v>
      </c>
      <c r="E33" s="41">
        <f t="shared" si="10"/>
        <v>300100</v>
      </c>
      <c r="F33" s="41">
        <v>144811</v>
      </c>
      <c r="G33" s="41">
        <f t="shared" si="11"/>
        <v>97750</v>
      </c>
      <c r="H33" s="12">
        <f t="shared" si="4"/>
        <v>0.4469843972572195</v>
      </c>
      <c r="I33" s="12">
        <f t="shared" si="5"/>
        <v>0.26685352365473103</v>
      </c>
      <c r="Q33" s="28"/>
      <c r="R33" s="28"/>
      <c r="S33" s="28"/>
      <c r="T33" s="28"/>
      <c r="U33" s="28"/>
      <c r="V33" s="28"/>
      <c r="W33" s="28"/>
      <c r="X33" s="28"/>
      <c r="Y33" s="28"/>
    </row>
    <row r="34" spans="1:25" x14ac:dyDescent="0.25">
      <c r="A34" s="6">
        <v>34</v>
      </c>
      <c r="B34" s="7" t="s">
        <v>78</v>
      </c>
      <c r="C34" s="40">
        <f>+C35</f>
        <v>10</v>
      </c>
      <c r="D34" s="40">
        <f>+D35</f>
        <v>2565475</v>
      </c>
      <c r="E34" s="40">
        <f t="shared" si="10"/>
        <v>-2565465</v>
      </c>
      <c r="F34" s="40">
        <f>+F35</f>
        <v>2565475</v>
      </c>
      <c r="G34" s="40">
        <f t="shared" si="11"/>
        <v>0</v>
      </c>
      <c r="H34" s="9">
        <f t="shared" si="4"/>
        <v>256547.5</v>
      </c>
      <c r="I34" s="9">
        <f t="shared" si="5"/>
        <v>256547.5</v>
      </c>
      <c r="L34">
        <v>140929</v>
      </c>
      <c r="M34">
        <v>140929</v>
      </c>
      <c r="N34">
        <v>0</v>
      </c>
      <c r="O34">
        <v>140929</v>
      </c>
      <c r="P34">
        <v>0</v>
      </c>
      <c r="Q34" s="28"/>
      <c r="R34" s="28">
        <f t="shared" si="6"/>
        <v>-2565465</v>
      </c>
      <c r="S34" s="28">
        <f t="shared" si="7"/>
        <v>0</v>
      </c>
      <c r="T34" s="28">
        <f t="shared" si="8"/>
        <v>0</v>
      </c>
      <c r="U34" s="28">
        <f t="shared" si="9"/>
        <v>0</v>
      </c>
      <c r="V34" s="28"/>
      <c r="W34" s="28"/>
      <c r="X34" s="28"/>
      <c r="Y34" s="28"/>
    </row>
    <row r="35" spans="1:25" x14ac:dyDescent="0.25">
      <c r="A35" s="19" t="s">
        <v>79</v>
      </c>
      <c r="B35" s="34" t="s">
        <v>80</v>
      </c>
      <c r="C35" s="41">
        <v>10</v>
      </c>
      <c r="D35" s="41">
        <v>2565475</v>
      </c>
      <c r="E35" s="41">
        <f t="shared" si="10"/>
        <v>-2565465</v>
      </c>
      <c r="F35" s="41">
        <v>2565475</v>
      </c>
      <c r="G35" s="41">
        <f t="shared" si="11"/>
        <v>0</v>
      </c>
      <c r="H35" s="12">
        <f t="shared" si="4"/>
        <v>256547.5</v>
      </c>
      <c r="I35" s="12">
        <f t="shared" si="5"/>
        <v>256547.5</v>
      </c>
      <c r="L35">
        <v>140929</v>
      </c>
      <c r="M35">
        <v>140929</v>
      </c>
      <c r="N35">
        <v>0</v>
      </c>
      <c r="O35">
        <v>140929</v>
      </c>
      <c r="P35">
        <v>0</v>
      </c>
      <c r="Q35" s="28"/>
      <c r="R35" s="28">
        <f t="shared" si="6"/>
        <v>-2565465</v>
      </c>
      <c r="S35" s="28">
        <f t="shared" si="7"/>
        <v>0</v>
      </c>
      <c r="T35" s="28">
        <f t="shared" si="8"/>
        <v>0</v>
      </c>
      <c r="U35" s="28">
        <f t="shared" si="9"/>
        <v>0</v>
      </c>
      <c r="V35" s="28"/>
      <c r="W35" s="28"/>
      <c r="X35" s="28"/>
      <c r="Y35" s="28"/>
    </row>
    <row r="36" spans="1:25" x14ac:dyDescent="0.25">
      <c r="A36" s="45"/>
      <c r="B36" s="46" t="s">
        <v>91</v>
      </c>
      <c r="C36" s="47">
        <f>+C15+C24+C25+C34</f>
        <v>50834718</v>
      </c>
      <c r="D36" s="47">
        <f t="shared" ref="D36:G36" si="12">+D15+D24+D25+D34</f>
        <v>16431324</v>
      </c>
      <c r="E36" s="47">
        <f t="shared" si="12"/>
        <v>34403394</v>
      </c>
      <c r="F36" s="47">
        <f t="shared" si="12"/>
        <v>8331771</v>
      </c>
      <c r="G36" s="47">
        <f t="shared" si="12"/>
        <v>8099553</v>
      </c>
      <c r="H36" s="48">
        <f t="shared" si="4"/>
        <v>0.3232303560727926</v>
      </c>
      <c r="I36" s="48">
        <f t="shared" si="5"/>
        <v>0.16389922729580206</v>
      </c>
      <c r="Q36" s="28"/>
      <c r="R36" s="28">
        <f t="shared" si="6"/>
        <v>34403394</v>
      </c>
      <c r="S36" s="28">
        <f t="shared" si="7"/>
        <v>0</v>
      </c>
      <c r="T36" s="28">
        <f t="shared" si="8"/>
        <v>8099553</v>
      </c>
      <c r="U36" s="28">
        <f t="shared" si="9"/>
        <v>0</v>
      </c>
      <c r="V36" s="28"/>
      <c r="W36" s="28"/>
      <c r="X36" s="28"/>
      <c r="Y36" s="28"/>
    </row>
    <row r="37" spans="1:25" x14ac:dyDescent="0.25">
      <c r="C37" s="28"/>
      <c r="D37" s="28"/>
      <c r="E37" s="28"/>
      <c r="F37" s="28"/>
      <c r="G37" s="28"/>
    </row>
    <row r="38" spans="1:25" ht="15" customHeight="1" x14ac:dyDescent="0.25">
      <c r="A38" s="189"/>
      <c r="B38" s="189"/>
      <c r="C38" s="189"/>
      <c r="D38" s="189"/>
      <c r="E38" s="189"/>
      <c r="F38" s="189"/>
      <c r="G38" s="189"/>
      <c r="H38" s="189"/>
      <c r="I38" s="189"/>
    </row>
    <row r="39" spans="1:25" ht="15" customHeight="1" x14ac:dyDescent="0.25">
      <c r="A39" s="189"/>
      <c r="B39" s="189"/>
      <c r="C39" s="189"/>
      <c r="D39" s="189"/>
      <c r="E39" s="189"/>
      <c r="F39" s="189"/>
      <c r="G39" s="189"/>
      <c r="H39" s="189"/>
      <c r="I39" s="189"/>
    </row>
    <row r="40" spans="1:25" ht="15" customHeight="1" x14ac:dyDescent="0.25">
      <c r="A40" s="189"/>
      <c r="B40" s="189"/>
      <c r="C40" s="189"/>
      <c r="D40" s="189"/>
      <c r="E40" s="189"/>
      <c r="F40" s="189"/>
      <c r="G40" s="189"/>
      <c r="H40" s="189"/>
      <c r="I40" s="189"/>
    </row>
    <row r="41" spans="1:25" ht="15" customHeight="1" x14ac:dyDescent="0.25">
      <c r="A41" s="189"/>
      <c r="B41" s="189"/>
      <c r="C41" s="189"/>
      <c r="D41" s="189"/>
      <c r="E41" s="189"/>
      <c r="F41" s="189"/>
      <c r="G41" s="189"/>
      <c r="H41" s="189"/>
      <c r="I41" s="189"/>
    </row>
    <row r="42" spans="1:25" ht="15" customHeight="1" x14ac:dyDescent="0.25">
      <c r="A42" s="189"/>
      <c r="B42" s="189"/>
      <c r="C42" s="189"/>
      <c r="D42" s="189"/>
      <c r="E42" s="189"/>
      <c r="F42" s="189"/>
      <c r="G42" s="189"/>
      <c r="H42" s="189"/>
      <c r="I42" s="189"/>
    </row>
    <row r="43" spans="1:25" ht="15" customHeight="1" x14ac:dyDescent="0.25">
      <c r="A43" s="189"/>
      <c r="B43" s="189"/>
      <c r="C43" s="189"/>
      <c r="D43" s="189"/>
      <c r="E43" s="189"/>
      <c r="F43" s="189"/>
      <c r="G43" s="189"/>
      <c r="H43" s="189"/>
      <c r="I43" s="189"/>
    </row>
    <row r="44" spans="1:25" ht="15" customHeight="1" x14ac:dyDescent="0.25">
      <c r="A44" s="189"/>
      <c r="B44" s="189"/>
      <c r="C44" s="189"/>
      <c r="D44" s="189"/>
      <c r="E44" s="189"/>
      <c r="F44" s="189"/>
      <c r="G44" s="189"/>
      <c r="H44" s="189"/>
      <c r="I44" s="189"/>
    </row>
    <row r="45" spans="1:25" ht="15" customHeight="1" x14ac:dyDescent="0.25">
      <c r="A45" s="189"/>
      <c r="B45" s="189"/>
      <c r="C45" s="189"/>
      <c r="D45" s="189"/>
      <c r="E45" s="189"/>
      <c r="F45" s="189"/>
      <c r="G45" s="189"/>
      <c r="H45" s="189"/>
      <c r="I45" s="189"/>
    </row>
    <row r="46" spans="1:25" ht="15" customHeight="1" x14ac:dyDescent="0.25">
      <c r="A46" s="189"/>
      <c r="B46" s="189"/>
      <c r="C46" s="189"/>
      <c r="D46" s="189"/>
      <c r="E46" s="189"/>
      <c r="F46" s="189"/>
      <c r="G46" s="189"/>
      <c r="H46" s="189"/>
      <c r="I46" s="189"/>
    </row>
    <row r="48" spans="1:25" x14ac:dyDescent="0.25">
      <c r="G48" t="s">
        <v>81</v>
      </c>
    </row>
  </sheetData>
  <mergeCells count="2">
    <mergeCell ref="A2:J2"/>
    <mergeCell ref="A3:J3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I48"/>
  <sheetViews>
    <sheetView showGridLines="0" zoomScale="90" zoomScaleNormal="90" workbookViewId="0">
      <selection activeCell="A2" sqref="A2:I2"/>
    </sheetView>
  </sheetViews>
  <sheetFormatPr baseColWidth="10" defaultRowHeight="15" x14ac:dyDescent="0.25"/>
  <cols>
    <col min="2" max="2" width="47.85546875" bestFit="1" customWidth="1"/>
    <col min="3" max="3" width="14.7109375" customWidth="1"/>
    <col min="4" max="4" width="17" customWidth="1"/>
    <col min="5" max="5" width="17.5703125" customWidth="1"/>
    <col min="6" max="6" width="15.7109375" customWidth="1"/>
    <col min="7" max="7" width="15.140625" customWidth="1"/>
    <col min="8" max="8" width="14.42578125" customWidth="1"/>
  </cols>
  <sheetData>
    <row r="2" spans="1:9" x14ac:dyDescent="0.25">
      <c r="A2" s="233" t="s">
        <v>123</v>
      </c>
      <c r="B2" s="233"/>
      <c r="C2" s="233"/>
      <c r="D2" s="233"/>
      <c r="E2" s="233"/>
      <c r="F2" s="233"/>
      <c r="G2" s="233"/>
      <c r="H2" s="233"/>
      <c r="I2" s="233"/>
    </row>
    <row r="3" spans="1:9" x14ac:dyDescent="0.25">
      <c r="A3" s="232" t="s">
        <v>340</v>
      </c>
      <c r="B3" s="232"/>
      <c r="C3" s="232"/>
      <c r="D3" s="232"/>
      <c r="E3" s="232"/>
      <c r="F3" s="232"/>
      <c r="G3" s="232"/>
      <c r="H3" s="232"/>
      <c r="I3" s="232"/>
    </row>
    <row r="4" spans="1:9" x14ac:dyDescent="0.25">
      <c r="A4" s="225" t="s">
        <v>315</v>
      </c>
      <c r="B4" s="1"/>
      <c r="C4" s="1"/>
      <c r="D4" s="1"/>
      <c r="E4" s="1"/>
      <c r="F4" s="1"/>
      <c r="G4" s="1"/>
      <c r="H4" s="1"/>
      <c r="I4" s="1"/>
    </row>
    <row r="5" spans="1:9" ht="25.5" x14ac:dyDescent="0.25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5" t="s">
        <v>7</v>
      </c>
      <c r="I5" s="5" t="s">
        <v>8</v>
      </c>
    </row>
    <row r="6" spans="1:9" x14ac:dyDescent="0.25">
      <c r="A6" s="6" t="s">
        <v>283</v>
      </c>
      <c r="B6" s="7" t="s">
        <v>32</v>
      </c>
      <c r="C6" s="8">
        <f>+C7</f>
        <v>10</v>
      </c>
      <c r="D6" s="8">
        <f>+D7</f>
        <v>0</v>
      </c>
      <c r="E6" s="8">
        <f>+C6-D6</f>
        <v>10</v>
      </c>
      <c r="F6" s="8">
        <f>+F7</f>
        <v>0</v>
      </c>
      <c r="G6" s="8">
        <f>+D6-F6</f>
        <v>0</v>
      </c>
      <c r="H6" s="9">
        <f>+D6/C6</f>
        <v>0</v>
      </c>
      <c r="I6" s="9">
        <f>+F6/C6</f>
        <v>0</v>
      </c>
    </row>
    <row r="7" spans="1:9" x14ac:dyDescent="0.25">
      <c r="A7" s="222" t="s">
        <v>284</v>
      </c>
      <c r="B7" s="223" t="s">
        <v>285</v>
      </c>
      <c r="C7" s="224">
        <f>+C8</f>
        <v>10</v>
      </c>
      <c r="D7" s="224">
        <f>+D8</f>
        <v>0</v>
      </c>
      <c r="E7" s="151">
        <f t="shared" ref="E7:E19" si="0">+C7-D7</f>
        <v>10</v>
      </c>
      <c r="F7" s="224">
        <f>+F8</f>
        <v>0</v>
      </c>
      <c r="G7" s="224">
        <f t="shared" ref="G7:G19" si="1">+D7-F7</f>
        <v>0</v>
      </c>
      <c r="H7" s="32">
        <f t="shared" ref="H7:H19" si="2">+D7/C7</f>
        <v>0</v>
      </c>
      <c r="I7" s="32">
        <f t="shared" ref="I7:I19" si="3">+F7/C7</f>
        <v>0</v>
      </c>
    </row>
    <row r="8" spans="1:9" x14ac:dyDescent="0.25">
      <c r="A8" s="35" t="s">
        <v>317</v>
      </c>
      <c r="B8" s="203" t="s">
        <v>318</v>
      </c>
      <c r="C8" s="11">
        <v>10</v>
      </c>
      <c r="D8" s="11">
        <v>0</v>
      </c>
      <c r="E8" s="150">
        <f t="shared" si="0"/>
        <v>10</v>
      </c>
      <c r="F8" s="11">
        <v>0</v>
      </c>
      <c r="G8" s="11">
        <f t="shared" si="1"/>
        <v>0</v>
      </c>
      <c r="H8" s="12">
        <f t="shared" si="2"/>
        <v>0</v>
      </c>
      <c r="I8" s="12">
        <f t="shared" si="3"/>
        <v>0</v>
      </c>
    </row>
    <row r="9" spans="1:9" x14ac:dyDescent="0.25">
      <c r="A9" s="202" t="s">
        <v>319</v>
      </c>
      <c r="B9" s="208" t="s">
        <v>320</v>
      </c>
      <c r="C9" s="209">
        <f>+C10</f>
        <v>11</v>
      </c>
      <c r="D9" s="209">
        <f>+D10</f>
        <v>2225</v>
      </c>
      <c r="E9" s="8">
        <f t="shared" si="0"/>
        <v>-2214</v>
      </c>
      <c r="F9" s="209">
        <f>+F10</f>
        <v>2225</v>
      </c>
      <c r="G9" s="209">
        <f t="shared" si="1"/>
        <v>0</v>
      </c>
      <c r="H9" s="9">
        <f t="shared" si="2"/>
        <v>202.27272727272728</v>
      </c>
      <c r="I9" s="9">
        <f t="shared" si="3"/>
        <v>202.27272727272728</v>
      </c>
    </row>
    <row r="10" spans="1:9" x14ac:dyDescent="0.25">
      <c r="A10" s="35" t="s">
        <v>321</v>
      </c>
      <c r="B10" s="203" t="s">
        <v>322</v>
      </c>
      <c r="C10" s="11">
        <v>11</v>
      </c>
      <c r="D10" s="11">
        <v>2225</v>
      </c>
      <c r="E10" s="150">
        <f t="shared" si="0"/>
        <v>-2214</v>
      </c>
      <c r="F10" s="11">
        <v>2225</v>
      </c>
      <c r="G10" s="11">
        <f t="shared" si="1"/>
        <v>0</v>
      </c>
      <c r="H10" s="12">
        <f t="shared" si="2"/>
        <v>202.27272727272728</v>
      </c>
      <c r="I10" s="12">
        <f t="shared" si="3"/>
        <v>202.27272727272728</v>
      </c>
    </row>
    <row r="11" spans="1:9" x14ac:dyDescent="0.25">
      <c r="A11" s="202" t="s">
        <v>290</v>
      </c>
      <c r="B11" s="208" t="s">
        <v>291</v>
      </c>
      <c r="C11" s="209">
        <f>SUM(C12:C14)</f>
        <v>10</v>
      </c>
      <c r="D11" s="209">
        <f>SUM(D12:D14)</f>
        <v>3125</v>
      </c>
      <c r="E11" s="8">
        <f t="shared" si="0"/>
        <v>-3115</v>
      </c>
      <c r="F11" s="209">
        <f>SUM(F12:F14)</f>
        <v>3125</v>
      </c>
      <c r="G11" s="209">
        <f t="shared" si="1"/>
        <v>0</v>
      </c>
      <c r="H11" s="9">
        <f t="shared" si="2"/>
        <v>312.5</v>
      </c>
      <c r="I11" s="9">
        <f t="shared" si="3"/>
        <v>312.5</v>
      </c>
    </row>
    <row r="12" spans="1:9" x14ac:dyDescent="0.25">
      <c r="A12" s="35" t="s">
        <v>292</v>
      </c>
      <c r="B12" s="203" t="s">
        <v>293</v>
      </c>
      <c r="C12" s="11">
        <v>10</v>
      </c>
      <c r="D12" s="11">
        <v>3125</v>
      </c>
      <c r="E12" s="150">
        <f t="shared" si="0"/>
        <v>-3115</v>
      </c>
      <c r="F12" s="11">
        <v>3125</v>
      </c>
      <c r="G12" s="11">
        <f t="shared" si="1"/>
        <v>0</v>
      </c>
      <c r="H12" s="12">
        <f t="shared" si="2"/>
        <v>312.5</v>
      </c>
      <c r="I12" s="12">
        <f t="shared" si="3"/>
        <v>312.5</v>
      </c>
    </row>
    <row r="13" spans="1:9" hidden="1" x14ac:dyDescent="0.25">
      <c r="A13" s="35" t="s">
        <v>294</v>
      </c>
      <c r="B13" s="203" t="s">
        <v>295</v>
      </c>
      <c r="C13" s="11">
        <v>0</v>
      </c>
      <c r="D13" s="11">
        <v>0</v>
      </c>
      <c r="E13" s="150">
        <f t="shared" si="0"/>
        <v>0</v>
      </c>
      <c r="F13" s="11">
        <v>0</v>
      </c>
      <c r="G13" s="11">
        <f t="shared" si="1"/>
        <v>0</v>
      </c>
      <c r="H13" s="12" t="e">
        <f t="shared" si="2"/>
        <v>#DIV/0!</v>
      </c>
      <c r="I13" s="12" t="e">
        <f t="shared" si="3"/>
        <v>#DIV/0!</v>
      </c>
    </row>
    <row r="14" spans="1:9" hidden="1" x14ac:dyDescent="0.25">
      <c r="A14" s="35" t="s">
        <v>296</v>
      </c>
      <c r="B14" s="203" t="s">
        <v>297</v>
      </c>
      <c r="C14" s="11">
        <v>0</v>
      </c>
      <c r="D14" s="11">
        <v>0</v>
      </c>
      <c r="E14" s="150">
        <f t="shared" si="0"/>
        <v>0</v>
      </c>
      <c r="F14" s="11">
        <v>0</v>
      </c>
      <c r="G14" s="11">
        <f t="shared" si="1"/>
        <v>0</v>
      </c>
      <c r="H14" s="12" t="e">
        <f t="shared" si="2"/>
        <v>#DIV/0!</v>
      </c>
      <c r="I14" s="12" t="e">
        <f t="shared" si="3"/>
        <v>#DIV/0!</v>
      </c>
    </row>
    <row r="15" spans="1:9" x14ac:dyDescent="0.25">
      <c r="A15" s="202" t="s">
        <v>298</v>
      </c>
      <c r="B15" s="208" t="s">
        <v>299</v>
      </c>
      <c r="C15" s="209">
        <f>+C16</f>
        <v>2880120</v>
      </c>
      <c r="D15" s="209">
        <f>+D16</f>
        <v>517727</v>
      </c>
      <c r="E15" s="8">
        <f t="shared" si="0"/>
        <v>2362393</v>
      </c>
      <c r="F15" s="209">
        <f>+F16</f>
        <v>486462</v>
      </c>
      <c r="G15" s="209">
        <f t="shared" si="1"/>
        <v>31265</v>
      </c>
      <c r="H15" s="9">
        <f t="shared" si="2"/>
        <v>0.17975882949321556</v>
      </c>
      <c r="I15" s="9">
        <f t="shared" si="3"/>
        <v>0.16890337902587393</v>
      </c>
    </row>
    <row r="16" spans="1:9" x14ac:dyDescent="0.25">
      <c r="A16" s="222" t="s">
        <v>300</v>
      </c>
      <c r="B16" s="223" t="s">
        <v>301</v>
      </c>
      <c r="C16" s="224">
        <f>+C17+C18</f>
        <v>2880120</v>
      </c>
      <c r="D16" s="224">
        <f>+D17+D18</f>
        <v>517727</v>
      </c>
      <c r="E16" s="151">
        <f t="shared" si="0"/>
        <v>2362393</v>
      </c>
      <c r="F16" s="224">
        <f>+F17+F18</f>
        <v>486462</v>
      </c>
      <c r="G16" s="224">
        <f t="shared" si="1"/>
        <v>31265</v>
      </c>
      <c r="H16" s="32">
        <f t="shared" si="2"/>
        <v>0.17975882949321556</v>
      </c>
      <c r="I16" s="32">
        <f t="shared" si="3"/>
        <v>0.16890337902587393</v>
      </c>
    </row>
    <row r="17" spans="1:9" x14ac:dyDescent="0.25">
      <c r="A17" s="35" t="s">
        <v>302</v>
      </c>
      <c r="B17" s="203" t="s">
        <v>303</v>
      </c>
      <c r="C17" s="11">
        <v>1421722</v>
      </c>
      <c r="D17" s="11">
        <v>201006</v>
      </c>
      <c r="E17" s="150">
        <f t="shared" si="0"/>
        <v>1220716</v>
      </c>
      <c r="F17" s="11">
        <v>201006</v>
      </c>
      <c r="G17" s="11">
        <f t="shared" si="1"/>
        <v>0</v>
      </c>
      <c r="H17" s="12">
        <f t="shared" si="2"/>
        <v>0.1413820704750999</v>
      </c>
      <c r="I17" s="12">
        <f t="shared" si="3"/>
        <v>0.1413820704750999</v>
      </c>
    </row>
    <row r="18" spans="1:9" x14ac:dyDescent="0.25">
      <c r="A18" s="35" t="s">
        <v>304</v>
      </c>
      <c r="B18" s="203" t="s">
        <v>305</v>
      </c>
      <c r="C18" s="11">
        <v>1458398</v>
      </c>
      <c r="D18" s="11">
        <v>316721</v>
      </c>
      <c r="E18" s="150">
        <f t="shared" si="0"/>
        <v>1141677</v>
      </c>
      <c r="F18" s="11">
        <v>285456</v>
      </c>
      <c r="G18" s="11">
        <f t="shared" si="1"/>
        <v>31265</v>
      </c>
      <c r="H18" s="12">
        <f t="shared" si="2"/>
        <v>0.21717048432595218</v>
      </c>
      <c r="I18" s="12">
        <f t="shared" si="3"/>
        <v>0.19573257780112149</v>
      </c>
    </row>
    <row r="19" spans="1:9" x14ac:dyDescent="0.25">
      <c r="A19" s="213" t="s">
        <v>310</v>
      </c>
      <c r="B19" s="214" t="s">
        <v>311</v>
      </c>
      <c r="C19" s="209">
        <v>10</v>
      </c>
      <c r="D19" s="209">
        <v>0</v>
      </c>
      <c r="E19" s="16">
        <f t="shared" si="0"/>
        <v>10</v>
      </c>
      <c r="F19" s="209">
        <v>0</v>
      </c>
      <c r="G19" s="209">
        <f t="shared" si="1"/>
        <v>0</v>
      </c>
      <c r="H19" s="9">
        <f t="shared" si="2"/>
        <v>0</v>
      </c>
      <c r="I19" s="9">
        <f t="shared" si="3"/>
        <v>0</v>
      </c>
    </row>
    <row r="20" spans="1:9" x14ac:dyDescent="0.25">
      <c r="A20" s="212"/>
      <c r="B20" s="218" t="s">
        <v>29</v>
      </c>
      <c r="C20" s="219">
        <f>+C6+C9+C11+C15+C19</f>
        <v>2880161</v>
      </c>
      <c r="D20" s="219">
        <f t="shared" ref="D20:G20" si="4">+D6+D9+D11+D15+D19</f>
        <v>523077</v>
      </c>
      <c r="E20" s="219">
        <f t="shared" si="4"/>
        <v>2357084</v>
      </c>
      <c r="F20" s="219">
        <f t="shared" si="4"/>
        <v>491812</v>
      </c>
      <c r="G20" s="219">
        <f t="shared" si="4"/>
        <v>31265</v>
      </c>
      <c r="H20" s="26">
        <f>+D20/C20</f>
        <v>0.18161380561711654</v>
      </c>
      <c r="I20" s="26">
        <f>+F20/C20</f>
        <v>0.17075850968053521</v>
      </c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225" t="s">
        <v>316</v>
      </c>
      <c r="B22" s="1"/>
      <c r="C22" s="1"/>
      <c r="D22" s="1"/>
      <c r="E22" s="1"/>
      <c r="F22" s="1"/>
      <c r="G22" s="1"/>
      <c r="H22" s="1"/>
      <c r="I22" s="1"/>
    </row>
    <row r="23" spans="1:9" ht="25.5" x14ac:dyDescent="0.25">
      <c r="A23" s="2" t="s">
        <v>0</v>
      </c>
      <c r="B23" s="3" t="s">
        <v>1</v>
      </c>
      <c r="C23" s="3" t="s">
        <v>2</v>
      </c>
      <c r="D23" s="3" t="s">
        <v>3</v>
      </c>
      <c r="E23" s="3" t="s">
        <v>4</v>
      </c>
      <c r="F23" s="3" t="s">
        <v>5</v>
      </c>
      <c r="G23" s="4" t="s">
        <v>6</v>
      </c>
      <c r="H23" s="5" t="s">
        <v>7</v>
      </c>
      <c r="I23" s="5" t="s">
        <v>8</v>
      </c>
    </row>
    <row r="24" spans="1:9" x14ac:dyDescent="0.25">
      <c r="A24" s="6">
        <v>21</v>
      </c>
      <c r="B24" s="7" t="s">
        <v>9</v>
      </c>
      <c r="C24" s="8">
        <f>SUM(C25:C30)</f>
        <v>1421722</v>
      </c>
      <c r="D24" s="8">
        <f>SUM(D25:D30)</f>
        <v>203199</v>
      </c>
      <c r="E24" s="8">
        <f>SUM(E25:E30)</f>
        <v>1218523</v>
      </c>
      <c r="F24" s="8">
        <f>SUM(F25:F30)</f>
        <v>203199</v>
      </c>
      <c r="G24" s="8">
        <f t="shared" ref="G24" si="5">SUM(G25:G30)</f>
        <v>0</v>
      </c>
      <c r="H24" s="9">
        <f>+D24/C24</f>
        <v>0.14292456612474169</v>
      </c>
      <c r="I24" s="9">
        <f>+F24/C24</f>
        <v>0.14292456612474169</v>
      </c>
    </row>
    <row r="25" spans="1:9" x14ac:dyDescent="0.25">
      <c r="A25" s="6"/>
      <c r="B25" s="10" t="s">
        <v>10</v>
      </c>
      <c r="C25" s="11">
        <f>1421722-SUM(C26:C30)</f>
        <v>1297287</v>
      </c>
      <c r="D25" s="11">
        <f>203199-SUM(D26:D30)</f>
        <v>184927</v>
      </c>
      <c r="E25" s="11">
        <f t="shared" ref="E25:E44" si="6">+C25-D25</f>
        <v>1112360</v>
      </c>
      <c r="F25" s="11">
        <f>203199-SUM(F26:F30)</f>
        <v>184927</v>
      </c>
      <c r="G25" s="11">
        <f t="shared" ref="G25:G44" si="7">+D25-F25</f>
        <v>0</v>
      </c>
      <c r="H25" s="12">
        <f t="shared" ref="H25:H46" si="8">+D25/C25</f>
        <v>0.14254902731623767</v>
      </c>
      <c r="I25" s="12">
        <f t="shared" ref="I25:I46" si="9">+F25/C25</f>
        <v>0.14254902731623767</v>
      </c>
    </row>
    <row r="26" spans="1:9" x14ac:dyDescent="0.25">
      <c r="A26" s="6"/>
      <c r="B26" s="10" t="s">
        <v>11</v>
      </c>
      <c r="C26" s="11">
        <v>50165</v>
      </c>
      <c r="D26" s="11">
        <v>8213</v>
      </c>
      <c r="E26" s="11">
        <f t="shared" si="6"/>
        <v>41952</v>
      </c>
      <c r="F26" s="11">
        <v>8213</v>
      </c>
      <c r="G26" s="11">
        <f t="shared" si="7"/>
        <v>0</v>
      </c>
      <c r="H26" s="12">
        <f t="shared" si="8"/>
        <v>0.16371972490780426</v>
      </c>
      <c r="I26" s="12">
        <f t="shared" si="9"/>
        <v>0.16371972490780426</v>
      </c>
    </row>
    <row r="27" spans="1:9" x14ac:dyDescent="0.25">
      <c r="A27" s="6"/>
      <c r="B27" s="10" t="s">
        <v>12</v>
      </c>
      <c r="C27" s="11">
        <v>1506</v>
      </c>
      <c r="D27" s="11">
        <v>453</v>
      </c>
      <c r="E27" s="11">
        <f t="shared" si="6"/>
        <v>1053</v>
      </c>
      <c r="F27" s="11">
        <v>453</v>
      </c>
      <c r="G27" s="11">
        <f t="shared" si="7"/>
        <v>0</v>
      </c>
      <c r="H27" s="12">
        <f t="shared" si="8"/>
        <v>0.30079681274900399</v>
      </c>
      <c r="I27" s="12">
        <f t="shared" si="9"/>
        <v>0.30079681274900399</v>
      </c>
    </row>
    <row r="28" spans="1:9" x14ac:dyDescent="0.25">
      <c r="A28" s="6"/>
      <c r="B28" s="10" t="s">
        <v>13</v>
      </c>
      <c r="C28" s="11">
        <v>3193</v>
      </c>
      <c r="D28" s="11">
        <v>1580</v>
      </c>
      <c r="E28" s="11">
        <f t="shared" si="6"/>
        <v>1613</v>
      </c>
      <c r="F28" s="11">
        <v>1580</v>
      </c>
      <c r="G28" s="11">
        <f t="shared" si="7"/>
        <v>0</v>
      </c>
      <c r="H28" s="12">
        <f t="shared" si="8"/>
        <v>0.49483244597557158</v>
      </c>
      <c r="I28" s="12">
        <f t="shared" si="9"/>
        <v>0.49483244597557158</v>
      </c>
    </row>
    <row r="29" spans="1:9" x14ac:dyDescent="0.25">
      <c r="A29" s="6"/>
      <c r="B29" s="10" t="s">
        <v>14</v>
      </c>
      <c r="C29" s="11">
        <v>3690</v>
      </c>
      <c r="D29" s="11">
        <v>0</v>
      </c>
      <c r="E29" s="11">
        <f t="shared" si="6"/>
        <v>3690</v>
      </c>
      <c r="F29" s="11">
        <v>0</v>
      </c>
      <c r="G29" s="11">
        <f t="shared" si="7"/>
        <v>0</v>
      </c>
      <c r="H29" s="12">
        <f t="shared" si="8"/>
        <v>0</v>
      </c>
      <c r="I29" s="12">
        <f t="shared" si="9"/>
        <v>0</v>
      </c>
    </row>
    <row r="30" spans="1:9" x14ac:dyDescent="0.25">
      <c r="A30" s="6"/>
      <c r="B30" s="10" t="s">
        <v>15</v>
      </c>
      <c r="C30" s="11">
        <v>65881</v>
      </c>
      <c r="D30" s="11">
        <v>8026</v>
      </c>
      <c r="E30" s="11">
        <f t="shared" si="6"/>
        <v>57855</v>
      </c>
      <c r="F30" s="11">
        <v>8026</v>
      </c>
      <c r="G30" s="11">
        <f t="shared" si="7"/>
        <v>0</v>
      </c>
      <c r="H30" s="12">
        <f t="shared" si="8"/>
        <v>0.12182571606381203</v>
      </c>
      <c r="I30" s="12">
        <f t="shared" si="9"/>
        <v>0.12182571606381203</v>
      </c>
    </row>
    <row r="31" spans="1:9" x14ac:dyDescent="0.25">
      <c r="A31" s="6">
        <v>22</v>
      </c>
      <c r="B31" s="159" t="s">
        <v>16</v>
      </c>
      <c r="C31" s="8">
        <v>1201121</v>
      </c>
      <c r="D31" s="8">
        <v>232690</v>
      </c>
      <c r="E31" s="158">
        <f t="shared" si="6"/>
        <v>968431</v>
      </c>
      <c r="F31" s="8">
        <v>123988</v>
      </c>
      <c r="G31" s="132">
        <f t="shared" si="7"/>
        <v>108702</v>
      </c>
      <c r="H31" s="9">
        <f t="shared" si="8"/>
        <v>0.19372735969148819</v>
      </c>
      <c r="I31" s="9">
        <f t="shared" si="9"/>
        <v>0.10322690220219279</v>
      </c>
    </row>
    <row r="32" spans="1:9" x14ac:dyDescent="0.25">
      <c r="A32" s="6" t="s">
        <v>198</v>
      </c>
      <c r="B32" s="15" t="s">
        <v>32</v>
      </c>
      <c r="C32" s="16">
        <f>+C33+C35+C37</f>
        <v>195166</v>
      </c>
      <c r="D32" s="16">
        <f>+D33+D35+D37</f>
        <v>0</v>
      </c>
      <c r="E32" s="16">
        <f t="shared" si="6"/>
        <v>195166</v>
      </c>
      <c r="F32" s="16">
        <f>+F33+F35+F37</f>
        <v>0</v>
      </c>
      <c r="G32" s="132">
        <f t="shared" si="7"/>
        <v>0</v>
      </c>
      <c r="H32" s="9">
        <f t="shared" si="8"/>
        <v>0</v>
      </c>
      <c r="I32" s="9">
        <f t="shared" si="9"/>
        <v>0</v>
      </c>
    </row>
    <row r="33" spans="1:9" s="33" customFormat="1" x14ac:dyDescent="0.25">
      <c r="A33" s="155" t="s">
        <v>33</v>
      </c>
      <c r="B33" s="160" t="s">
        <v>34</v>
      </c>
      <c r="C33" s="31">
        <f>+C34</f>
        <v>10630</v>
      </c>
      <c r="D33" s="31">
        <f>+D34</f>
        <v>0</v>
      </c>
      <c r="E33" s="31">
        <f t="shared" si="6"/>
        <v>10630</v>
      </c>
      <c r="F33" s="31">
        <f>+F34</f>
        <v>0</v>
      </c>
      <c r="G33" s="156">
        <f t="shared" si="7"/>
        <v>0</v>
      </c>
      <c r="H33" s="32">
        <f t="shared" si="8"/>
        <v>0</v>
      </c>
      <c r="I33" s="32">
        <f t="shared" si="9"/>
        <v>0</v>
      </c>
    </row>
    <row r="34" spans="1:9" x14ac:dyDescent="0.25">
      <c r="A34" s="157" t="s">
        <v>333</v>
      </c>
      <c r="B34" s="51" t="s">
        <v>335</v>
      </c>
      <c r="C34" s="18">
        <v>10630</v>
      </c>
      <c r="D34" s="18">
        <v>0</v>
      </c>
      <c r="E34" s="18">
        <f t="shared" si="6"/>
        <v>10630</v>
      </c>
      <c r="F34" s="18">
        <v>0</v>
      </c>
      <c r="G34" s="20">
        <f t="shared" si="7"/>
        <v>0</v>
      </c>
      <c r="H34" s="12">
        <f t="shared" si="8"/>
        <v>0</v>
      </c>
      <c r="I34" s="12">
        <f t="shared" si="9"/>
        <v>0</v>
      </c>
    </row>
    <row r="35" spans="1:9" x14ac:dyDescent="0.25">
      <c r="A35" s="155" t="s">
        <v>55</v>
      </c>
      <c r="B35" s="160" t="s">
        <v>56</v>
      </c>
      <c r="C35" s="31">
        <f>+C36</f>
        <v>159450</v>
      </c>
      <c r="D35" s="31">
        <f>+D36</f>
        <v>0</v>
      </c>
      <c r="E35" s="31">
        <f t="shared" si="6"/>
        <v>159450</v>
      </c>
      <c r="F35" s="31">
        <f>+F36</f>
        <v>0</v>
      </c>
      <c r="G35" s="156">
        <f t="shared" si="7"/>
        <v>0</v>
      </c>
      <c r="H35" s="32">
        <f t="shared" si="8"/>
        <v>0</v>
      </c>
      <c r="I35" s="32">
        <f t="shared" si="9"/>
        <v>0</v>
      </c>
    </row>
    <row r="36" spans="1:9" x14ac:dyDescent="0.25">
      <c r="A36" s="157" t="s">
        <v>334</v>
      </c>
      <c r="B36" s="51" t="s">
        <v>336</v>
      </c>
      <c r="C36" s="18">
        <v>159450</v>
      </c>
      <c r="D36" s="18">
        <v>0</v>
      </c>
      <c r="E36" s="18">
        <f t="shared" si="6"/>
        <v>159450</v>
      </c>
      <c r="F36" s="18">
        <v>0</v>
      </c>
      <c r="G36" s="20">
        <f t="shared" si="7"/>
        <v>0</v>
      </c>
      <c r="H36" s="12">
        <f t="shared" si="8"/>
        <v>0</v>
      </c>
      <c r="I36" s="12">
        <f t="shared" si="9"/>
        <v>0</v>
      </c>
    </row>
    <row r="37" spans="1:9" s="33" customFormat="1" x14ac:dyDescent="0.25">
      <c r="A37" s="155" t="s">
        <v>192</v>
      </c>
      <c r="B37" s="160" t="s">
        <v>193</v>
      </c>
      <c r="C37" s="31">
        <f>+C38</f>
        <v>25086</v>
      </c>
      <c r="D37" s="31">
        <f>+D38</f>
        <v>0</v>
      </c>
      <c r="E37" s="31">
        <f t="shared" si="6"/>
        <v>25086</v>
      </c>
      <c r="F37" s="31">
        <f>+F38</f>
        <v>0</v>
      </c>
      <c r="G37" s="156">
        <f t="shared" si="7"/>
        <v>0</v>
      </c>
      <c r="H37" s="32">
        <f t="shared" si="8"/>
        <v>0</v>
      </c>
      <c r="I37" s="32">
        <f t="shared" si="9"/>
        <v>0</v>
      </c>
    </row>
    <row r="38" spans="1:9" x14ac:dyDescent="0.25">
      <c r="A38" s="157" t="s">
        <v>195</v>
      </c>
      <c r="B38" s="51" t="s">
        <v>196</v>
      </c>
      <c r="C38" s="18">
        <v>25086</v>
      </c>
      <c r="D38" s="18">
        <v>0</v>
      </c>
      <c r="E38" s="18">
        <f t="shared" si="6"/>
        <v>25086</v>
      </c>
      <c r="F38" s="18">
        <v>0</v>
      </c>
      <c r="G38" s="20">
        <f t="shared" si="7"/>
        <v>0</v>
      </c>
      <c r="H38" s="12">
        <f t="shared" si="8"/>
        <v>0</v>
      </c>
      <c r="I38" s="12">
        <f t="shared" si="9"/>
        <v>0</v>
      </c>
    </row>
    <row r="39" spans="1:9" x14ac:dyDescent="0.25">
      <c r="A39" s="14" t="s">
        <v>268</v>
      </c>
      <c r="B39" s="15" t="s">
        <v>70</v>
      </c>
      <c r="C39" s="16">
        <v>20</v>
      </c>
      <c r="D39" s="16">
        <v>0</v>
      </c>
      <c r="E39" s="16">
        <f>+C39-D39</f>
        <v>20</v>
      </c>
      <c r="F39" s="16">
        <v>0</v>
      </c>
      <c r="G39" s="16">
        <f>+D39-F39</f>
        <v>0</v>
      </c>
      <c r="H39" s="9">
        <f t="shared" si="8"/>
        <v>0</v>
      </c>
      <c r="I39" s="9">
        <f t="shared" si="9"/>
        <v>0</v>
      </c>
    </row>
    <row r="40" spans="1:9" x14ac:dyDescent="0.25">
      <c r="A40" s="14">
        <v>29</v>
      </c>
      <c r="B40" s="15" t="s">
        <v>17</v>
      </c>
      <c r="C40" s="16">
        <f>SUM(C41:C44)</f>
        <v>62122</v>
      </c>
      <c r="D40" s="16">
        <f t="shared" ref="D40:G40" si="10">SUM(D41:D44)</f>
        <v>1738</v>
      </c>
      <c r="E40" s="16">
        <f t="shared" si="10"/>
        <v>60384</v>
      </c>
      <c r="F40" s="16">
        <f t="shared" si="10"/>
        <v>1738</v>
      </c>
      <c r="G40" s="16">
        <f t="shared" si="10"/>
        <v>0</v>
      </c>
      <c r="H40" s="9">
        <f t="shared" si="8"/>
        <v>2.797720614275136E-2</v>
      </c>
      <c r="I40" s="9">
        <f t="shared" si="9"/>
        <v>2.797720614275136E-2</v>
      </c>
    </row>
    <row r="41" spans="1:9" hidden="1" x14ac:dyDescent="0.25">
      <c r="A41" s="19" t="s">
        <v>20</v>
      </c>
      <c r="B41" s="17" t="s">
        <v>21</v>
      </c>
      <c r="C41" s="20">
        <v>0</v>
      </c>
      <c r="D41" s="20">
        <v>0</v>
      </c>
      <c r="E41" s="20">
        <f t="shared" si="6"/>
        <v>0</v>
      </c>
      <c r="F41" s="20">
        <v>0</v>
      </c>
      <c r="G41" s="20">
        <f t="shared" si="7"/>
        <v>0</v>
      </c>
      <c r="H41" s="12" t="e">
        <f t="shared" si="8"/>
        <v>#DIV/0!</v>
      </c>
      <c r="I41" s="12" t="e">
        <f t="shared" si="9"/>
        <v>#DIV/0!</v>
      </c>
    </row>
    <row r="42" spans="1:9" hidden="1" x14ac:dyDescent="0.25">
      <c r="A42" s="19" t="s">
        <v>22</v>
      </c>
      <c r="B42" s="17" t="s">
        <v>23</v>
      </c>
      <c r="C42" s="20">
        <v>0</v>
      </c>
      <c r="D42" s="20">
        <v>0</v>
      </c>
      <c r="E42" s="20">
        <f t="shared" si="6"/>
        <v>0</v>
      </c>
      <c r="F42" s="20">
        <v>0</v>
      </c>
      <c r="G42" s="20">
        <f t="shared" si="7"/>
        <v>0</v>
      </c>
      <c r="H42" s="12" t="e">
        <f t="shared" si="8"/>
        <v>#DIV/0!</v>
      </c>
      <c r="I42" s="12" t="e">
        <f t="shared" si="9"/>
        <v>#DIV/0!</v>
      </c>
    </row>
    <row r="43" spans="1:9" x14ac:dyDescent="0.25">
      <c r="A43" s="19" t="s">
        <v>24</v>
      </c>
      <c r="B43" s="21" t="s">
        <v>25</v>
      </c>
      <c r="C43" s="18">
        <v>1132</v>
      </c>
      <c r="D43" s="18">
        <v>0</v>
      </c>
      <c r="E43" s="18">
        <f t="shared" si="6"/>
        <v>1132</v>
      </c>
      <c r="F43" s="18">
        <v>0</v>
      </c>
      <c r="G43" s="18">
        <f t="shared" si="7"/>
        <v>0</v>
      </c>
      <c r="H43" s="12">
        <f t="shared" si="8"/>
        <v>0</v>
      </c>
      <c r="I43" s="12">
        <f t="shared" si="9"/>
        <v>0</v>
      </c>
    </row>
    <row r="44" spans="1:9" x14ac:dyDescent="0.25">
      <c r="A44" s="19" t="s">
        <v>26</v>
      </c>
      <c r="B44" s="21" t="s">
        <v>27</v>
      </c>
      <c r="C44" s="18">
        <v>60990</v>
      </c>
      <c r="D44" s="18">
        <v>1738</v>
      </c>
      <c r="E44" s="18">
        <f t="shared" si="6"/>
        <v>59252</v>
      </c>
      <c r="F44" s="18">
        <v>1738</v>
      </c>
      <c r="G44" s="18">
        <f t="shared" si="7"/>
        <v>0</v>
      </c>
      <c r="H44" s="12">
        <f t="shared" si="8"/>
        <v>2.8496474831939664E-2</v>
      </c>
      <c r="I44" s="12">
        <f t="shared" si="9"/>
        <v>2.8496474831939664E-2</v>
      </c>
    </row>
    <row r="45" spans="1:9" x14ac:dyDescent="0.25">
      <c r="A45" s="14">
        <v>34</v>
      </c>
      <c r="B45" s="15" t="s">
        <v>78</v>
      </c>
      <c r="C45" s="16">
        <f>C46</f>
        <v>10</v>
      </c>
      <c r="D45" s="16">
        <f t="shared" ref="D45:G45" si="11">D46</f>
        <v>158272</v>
      </c>
      <c r="E45" s="16">
        <f t="shared" si="11"/>
        <v>-158262</v>
      </c>
      <c r="F45" s="16">
        <f t="shared" si="11"/>
        <v>158272</v>
      </c>
      <c r="G45" s="16">
        <f t="shared" si="11"/>
        <v>0</v>
      </c>
      <c r="H45" s="9">
        <f t="shared" si="8"/>
        <v>15827.2</v>
      </c>
      <c r="I45" s="9">
        <f t="shared" si="9"/>
        <v>15827.2</v>
      </c>
    </row>
    <row r="46" spans="1:9" x14ac:dyDescent="0.25">
      <c r="A46" s="19" t="s">
        <v>79</v>
      </c>
      <c r="B46" s="21" t="s">
        <v>80</v>
      </c>
      <c r="C46" s="18">
        <v>10</v>
      </c>
      <c r="D46" s="18">
        <v>158272</v>
      </c>
      <c r="E46" s="18">
        <f>+C46-D46</f>
        <v>-158262</v>
      </c>
      <c r="F46" s="18">
        <v>158272</v>
      </c>
      <c r="G46" s="18">
        <f>+D46-F46</f>
        <v>0</v>
      </c>
      <c r="H46" s="12">
        <f t="shared" si="8"/>
        <v>15827.2</v>
      </c>
      <c r="I46" s="12">
        <f t="shared" si="9"/>
        <v>15827.2</v>
      </c>
    </row>
    <row r="47" spans="1:9" x14ac:dyDescent="0.25">
      <c r="A47" s="23"/>
      <c r="B47" s="24" t="s">
        <v>29</v>
      </c>
      <c r="C47" s="25">
        <f>+C24+C31+C32+C39+C40+C45</f>
        <v>2880161</v>
      </c>
      <c r="D47" s="25">
        <f t="shared" ref="D47:G47" si="12">+D24+D31+D32+D39+D40+D45</f>
        <v>595899</v>
      </c>
      <c r="E47" s="25">
        <f t="shared" si="12"/>
        <v>2284262</v>
      </c>
      <c r="F47" s="25">
        <f t="shared" si="12"/>
        <v>487197</v>
      </c>
      <c r="G47" s="25">
        <f t="shared" si="12"/>
        <v>108702</v>
      </c>
      <c r="H47" s="26">
        <f>+D47/C47</f>
        <v>0.20689780883776984</v>
      </c>
      <c r="I47" s="26">
        <f>+F47/C47</f>
        <v>0.1691561687002914</v>
      </c>
    </row>
    <row r="48" spans="1:9" x14ac:dyDescent="0.25">
      <c r="C48" s="133"/>
      <c r="D48" s="133"/>
      <c r="E48" s="133"/>
      <c r="F48" s="133"/>
      <c r="G48" s="133"/>
      <c r="H48" s="133"/>
    </row>
  </sheetData>
  <mergeCells count="2">
    <mergeCell ref="A2:I2"/>
    <mergeCell ref="A3:I3"/>
  </mergeCells>
  <pageMargins left="0.7" right="0.7" top="0.75" bottom="0.75" header="0.3" footer="0.3"/>
  <pageSetup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outlinePr summaryBelow="0"/>
    <pageSetUpPr fitToPage="1"/>
  </sheetPr>
  <dimension ref="A2:R135"/>
  <sheetViews>
    <sheetView showGridLines="0" zoomScale="90" zoomScaleNormal="90" workbookViewId="0">
      <selection activeCell="A2" sqref="A2:I2"/>
    </sheetView>
  </sheetViews>
  <sheetFormatPr baseColWidth="10" defaultRowHeight="15" outlineLevelRow="1" x14ac:dyDescent="0.25"/>
  <cols>
    <col min="1" max="1" width="11.42578125" style="112"/>
    <col min="2" max="2" width="47.85546875" style="64" customWidth="1"/>
    <col min="3" max="3" width="15.140625" style="64" customWidth="1"/>
    <col min="4" max="4" width="14.7109375" style="64" customWidth="1"/>
    <col min="5" max="5" width="16.42578125" style="64" customWidth="1"/>
    <col min="6" max="6" width="14.5703125" style="64" customWidth="1"/>
    <col min="7" max="7" width="15.7109375" style="64" customWidth="1"/>
    <col min="8" max="8" width="13" style="64" customWidth="1"/>
    <col min="9" max="9" width="11.28515625" style="64" customWidth="1"/>
    <col min="10" max="11" width="11.42578125" style="64" customWidth="1"/>
    <col min="12" max="12" width="10.28515625" style="64" customWidth="1"/>
    <col min="13" max="13" width="11.28515625" style="64" customWidth="1"/>
    <col min="14" max="18" width="11.42578125" style="64" customWidth="1"/>
    <col min="19" max="16384" width="11.42578125" style="64"/>
  </cols>
  <sheetData>
    <row r="2" spans="1:9" x14ac:dyDescent="0.25">
      <c r="A2" s="235" t="s">
        <v>92</v>
      </c>
      <c r="B2" s="235"/>
      <c r="C2" s="235"/>
      <c r="D2" s="235"/>
      <c r="E2" s="235"/>
      <c r="F2" s="235"/>
      <c r="G2" s="235"/>
      <c r="H2" s="235"/>
      <c r="I2" s="235"/>
    </row>
    <row r="3" spans="1:9" x14ac:dyDescent="0.25">
      <c r="A3" s="236" t="s">
        <v>340</v>
      </c>
      <c r="B3" s="236"/>
      <c r="C3" s="236"/>
      <c r="D3" s="236"/>
      <c r="E3" s="236"/>
      <c r="F3" s="236"/>
      <c r="G3" s="236"/>
      <c r="H3" s="236"/>
      <c r="I3" s="236"/>
    </row>
    <row r="4" spans="1:9" x14ac:dyDescent="0.25">
      <c r="A4" s="220" t="s">
        <v>315</v>
      </c>
      <c r="B4"/>
      <c r="C4"/>
      <c r="D4"/>
      <c r="E4"/>
      <c r="F4"/>
      <c r="G4"/>
      <c r="H4"/>
      <c r="I4"/>
    </row>
    <row r="5" spans="1:9" ht="25.5" x14ac:dyDescent="0.25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5" t="s">
        <v>7</v>
      </c>
      <c r="I5" s="5" t="s">
        <v>8</v>
      </c>
    </row>
    <row r="6" spans="1:9" x14ac:dyDescent="0.25">
      <c r="A6" s="6" t="s">
        <v>283</v>
      </c>
      <c r="B6" s="7" t="s">
        <v>32</v>
      </c>
      <c r="C6" s="8">
        <f>+C7</f>
        <v>10</v>
      </c>
      <c r="D6" s="8">
        <f>+D7</f>
        <v>0</v>
      </c>
      <c r="E6" s="8">
        <f>+C6-D6</f>
        <v>10</v>
      </c>
      <c r="F6" s="8">
        <f>+F7</f>
        <v>0</v>
      </c>
      <c r="G6" s="8">
        <f>+D6-F6</f>
        <v>0</v>
      </c>
      <c r="H6" s="9">
        <f>+D6/C6</f>
        <v>0</v>
      </c>
      <c r="I6" s="9">
        <f>+F6/C6</f>
        <v>0</v>
      </c>
    </row>
    <row r="7" spans="1:9" x14ac:dyDescent="0.25">
      <c r="A7" s="222" t="s">
        <v>284</v>
      </c>
      <c r="B7" s="223" t="s">
        <v>285</v>
      </c>
      <c r="C7" s="224">
        <f>+C8</f>
        <v>10</v>
      </c>
      <c r="D7" s="224">
        <f>+D8</f>
        <v>0</v>
      </c>
      <c r="E7" s="151">
        <f t="shared" ref="E7:E18" si="0">+C7-D7</f>
        <v>10</v>
      </c>
      <c r="F7" s="224">
        <f>+F8</f>
        <v>0</v>
      </c>
      <c r="G7" s="224">
        <f t="shared" ref="G7:G18" si="1">+D7-F7</f>
        <v>0</v>
      </c>
      <c r="H7" s="32">
        <f t="shared" ref="H7:H18" si="2">+D7/C7</f>
        <v>0</v>
      </c>
      <c r="I7" s="32">
        <f t="shared" ref="I7:I18" si="3">+F7/C7</f>
        <v>0</v>
      </c>
    </row>
    <row r="8" spans="1:9" x14ac:dyDescent="0.25">
      <c r="A8" s="35" t="s">
        <v>317</v>
      </c>
      <c r="B8" s="203" t="s">
        <v>318</v>
      </c>
      <c r="C8" s="11">
        <v>10</v>
      </c>
      <c r="D8" s="11">
        <v>0</v>
      </c>
      <c r="E8" s="150">
        <f t="shared" si="0"/>
        <v>10</v>
      </c>
      <c r="F8" s="11">
        <v>0</v>
      </c>
      <c r="G8" s="11">
        <f t="shared" si="1"/>
        <v>0</v>
      </c>
      <c r="H8" s="12">
        <f t="shared" si="2"/>
        <v>0</v>
      </c>
      <c r="I8" s="12">
        <f t="shared" si="3"/>
        <v>0</v>
      </c>
    </row>
    <row r="9" spans="1:9" x14ac:dyDescent="0.25">
      <c r="A9" s="202" t="s">
        <v>288</v>
      </c>
      <c r="B9" s="208" t="s">
        <v>289</v>
      </c>
      <c r="C9" s="209">
        <v>412733</v>
      </c>
      <c r="D9" s="209">
        <v>50523</v>
      </c>
      <c r="E9" s="8">
        <f t="shared" si="0"/>
        <v>362210</v>
      </c>
      <c r="F9" s="209">
        <v>50523</v>
      </c>
      <c r="G9" s="209">
        <f t="shared" si="1"/>
        <v>0</v>
      </c>
      <c r="H9" s="9">
        <f t="shared" si="2"/>
        <v>0.12241085641322598</v>
      </c>
      <c r="I9" s="9">
        <f t="shared" si="3"/>
        <v>0.12241085641322598</v>
      </c>
    </row>
    <row r="10" spans="1:9" x14ac:dyDescent="0.25">
      <c r="A10" s="202" t="s">
        <v>290</v>
      </c>
      <c r="B10" s="208" t="s">
        <v>291</v>
      </c>
      <c r="C10" s="209">
        <f>SUM(C11:C13)</f>
        <v>246947</v>
      </c>
      <c r="D10" s="209">
        <f>SUM(D11:D13)</f>
        <v>249241</v>
      </c>
      <c r="E10" s="8">
        <f t="shared" si="0"/>
        <v>-2294</v>
      </c>
      <c r="F10" s="209">
        <f>SUM(F11:F13)</f>
        <v>249241</v>
      </c>
      <c r="G10" s="209">
        <f t="shared" si="1"/>
        <v>0</v>
      </c>
      <c r="H10" s="9">
        <f t="shared" si="2"/>
        <v>1.0092894426739341</v>
      </c>
      <c r="I10" s="9">
        <f t="shared" si="3"/>
        <v>1.0092894426739341</v>
      </c>
    </row>
    <row r="11" spans="1:9" x14ac:dyDescent="0.25">
      <c r="A11" s="35" t="s">
        <v>292</v>
      </c>
      <c r="B11" s="203" t="s">
        <v>293</v>
      </c>
      <c r="C11" s="11">
        <v>10</v>
      </c>
      <c r="D11" s="11">
        <v>150871</v>
      </c>
      <c r="E11" s="150">
        <f t="shared" si="0"/>
        <v>-150861</v>
      </c>
      <c r="F11" s="11">
        <v>150871</v>
      </c>
      <c r="G11" s="11">
        <f t="shared" si="1"/>
        <v>0</v>
      </c>
      <c r="H11" s="12">
        <f t="shared" si="2"/>
        <v>15087.1</v>
      </c>
      <c r="I11" s="12">
        <f t="shared" si="3"/>
        <v>15087.1</v>
      </c>
    </row>
    <row r="12" spans="1:9" x14ac:dyDescent="0.25">
      <c r="A12" s="35" t="s">
        <v>294</v>
      </c>
      <c r="B12" s="203" t="s">
        <v>295</v>
      </c>
      <c r="C12" s="11">
        <v>180535</v>
      </c>
      <c r="D12" s="11">
        <v>3118</v>
      </c>
      <c r="E12" s="150">
        <f t="shared" si="0"/>
        <v>177417</v>
      </c>
      <c r="F12" s="11">
        <v>3118</v>
      </c>
      <c r="G12" s="11">
        <f t="shared" si="1"/>
        <v>0</v>
      </c>
      <c r="H12" s="12">
        <f t="shared" si="2"/>
        <v>1.7270889301243528E-2</v>
      </c>
      <c r="I12" s="12">
        <f t="shared" si="3"/>
        <v>1.7270889301243528E-2</v>
      </c>
    </row>
    <row r="13" spans="1:9" x14ac:dyDescent="0.25">
      <c r="A13" s="35" t="s">
        <v>296</v>
      </c>
      <c r="B13" s="203" t="s">
        <v>297</v>
      </c>
      <c r="C13" s="11">
        <v>66402</v>
      </c>
      <c r="D13" s="11">
        <v>95252</v>
      </c>
      <c r="E13" s="150">
        <f t="shared" si="0"/>
        <v>-28850</v>
      </c>
      <c r="F13" s="11">
        <v>95252</v>
      </c>
      <c r="G13" s="11">
        <f t="shared" si="1"/>
        <v>0</v>
      </c>
      <c r="H13" s="12">
        <f t="shared" si="2"/>
        <v>1.4344748652149031</v>
      </c>
      <c r="I13" s="12">
        <f t="shared" si="3"/>
        <v>1.4344748652149031</v>
      </c>
    </row>
    <row r="14" spans="1:9" x14ac:dyDescent="0.25">
      <c r="A14" s="202" t="s">
        <v>298</v>
      </c>
      <c r="B14" s="208" t="s">
        <v>299</v>
      </c>
      <c r="C14" s="209">
        <f>+C15</f>
        <v>89295480</v>
      </c>
      <c r="D14" s="209">
        <f>+D15</f>
        <v>11400916</v>
      </c>
      <c r="E14" s="8">
        <f t="shared" si="0"/>
        <v>77894564</v>
      </c>
      <c r="F14" s="209">
        <f>+F15</f>
        <v>11400916</v>
      </c>
      <c r="G14" s="209">
        <f t="shared" si="1"/>
        <v>0</v>
      </c>
      <c r="H14" s="9">
        <f t="shared" si="2"/>
        <v>0.12767629447761522</v>
      </c>
      <c r="I14" s="9">
        <f t="shared" si="3"/>
        <v>0.12767629447761522</v>
      </c>
    </row>
    <row r="15" spans="1:9" x14ac:dyDescent="0.25">
      <c r="A15" s="222" t="s">
        <v>300</v>
      </c>
      <c r="B15" s="223" t="s">
        <v>301</v>
      </c>
      <c r="C15" s="224">
        <f>+C16+C17</f>
        <v>89295480</v>
      </c>
      <c r="D15" s="224">
        <f>+D16+D17</f>
        <v>11400916</v>
      </c>
      <c r="E15" s="151">
        <f t="shared" si="0"/>
        <v>77894564</v>
      </c>
      <c r="F15" s="224">
        <f>+F16+F17</f>
        <v>11400916</v>
      </c>
      <c r="G15" s="224">
        <f t="shared" si="1"/>
        <v>0</v>
      </c>
      <c r="H15" s="32">
        <f t="shared" si="2"/>
        <v>0.12767629447761522</v>
      </c>
      <c r="I15" s="32">
        <f t="shared" si="3"/>
        <v>0.12767629447761522</v>
      </c>
    </row>
    <row r="16" spans="1:9" x14ac:dyDescent="0.25">
      <c r="A16" s="35" t="s">
        <v>302</v>
      </c>
      <c r="B16" s="203" t="s">
        <v>303</v>
      </c>
      <c r="C16" s="11">
        <v>33623374</v>
      </c>
      <c r="D16" s="11">
        <v>4529944</v>
      </c>
      <c r="E16" s="150">
        <f t="shared" si="0"/>
        <v>29093430</v>
      </c>
      <c r="F16" s="11">
        <v>4529944</v>
      </c>
      <c r="G16" s="11">
        <f t="shared" si="1"/>
        <v>0</v>
      </c>
      <c r="H16" s="12">
        <f t="shared" si="2"/>
        <v>0.13472603909411351</v>
      </c>
      <c r="I16" s="12">
        <f t="shared" si="3"/>
        <v>0.13472603909411351</v>
      </c>
    </row>
    <row r="17" spans="1:18" x14ac:dyDescent="0.25">
      <c r="A17" s="35" t="s">
        <v>304</v>
      </c>
      <c r="B17" s="203" t="s">
        <v>305</v>
      </c>
      <c r="C17" s="11">
        <v>55672106</v>
      </c>
      <c r="D17" s="11">
        <v>6870972</v>
      </c>
      <c r="E17" s="150">
        <f t="shared" si="0"/>
        <v>48801134</v>
      </c>
      <c r="F17" s="11">
        <v>6870972</v>
      </c>
      <c r="G17" s="11">
        <f t="shared" si="1"/>
        <v>0</v>
      </c>
      <c r="H17" s="12">
        <f t="shared" si="2"/>
        <v>0.12341857518377336</v>
      </c>
      <c r="I17" s="12">
        <f t="shared" si="3"/>
        <v>0.12341857518377336</v>
      </c>
    </row>
    <row r="18" spans="1:18" x14ac:dyDescent="0.25">
      <c r="A18" s="213" t="s">
        <v>310</v>
      </c>
      <c r="B18" s="214" t="s">
        <v>311</v>
      </c>
      <c r="C18" s="209">
        <v>10</v>
      </c>
      <c r="D18" s="209">
        <v>0</v>
      </c>
      <c r="E18" s="16">
        <f t="shared" si="0"/>
        <v>10</v>
      </c>
      <c r="F18" s="209">
        <v>0</v>
      </c>
      <c r="G18" s="209">
        <f t="shared" si="1"/>
        <v>0</v>
      </c>
      <c r="H18" s="9">
        <f t="shared" si="2"/>
        <v>0</v>
      </c>
      <c r="I18" s="9">
        <f t="shared" si="3"/>
        <v>0</v>
      </c>
    </row>
    <row r="19" spans="1:18" x14ac:dyDescent="0.25">
      <c r="A19" s="212"/>
      <c r="B19" s="218" t="s">
        <v>29</v>
      </c>
      <c r="C19" s="219">
        <f>+C6+C9+C10+C14+C18</f>
        <v>89955180</v>
      </c>
      <c r="D19" s="219">
        <f t="shared" ref="D19:G19" si="4">+D6+D9+D10+D14+D18</f>
        <v>11700680</v>
      </c>
      <c r="E19" s="219">
        <f t="shared" si="4"/>
        <v>78254500</v>
      </c>
      <c r="F19" s="219">
        <f t="shared" si="4"/>
        <v>11700680</v>
      </c>
      <c r="G19" s="219">
        <f t="shared" si="4"/>
        <v>0</v>
      </c>
      <c r="H19" s="26">
        <f>+D19/C19</f>
        <v>0.13007233157668074</v>
      </c>
      <c r="I19" s="26">
        <f>+F19/C19</f>
        <v>0.13007233157668074</v>
      </c>
    </row>
    <row r="20" spans="1:18" x14ac:dyDescent="0.25">
      <c r="C20" s="73"/>
    </row>
    <row r="21" spans="1:18" x14ac:dyDescent="0.25">
      <c r="A21" s="227" t="s">
        <v>316</v>
      </c>
    </row>
    <row r="22" spans="1:18" ht="25.5" x14ac:dyDescent="0.25">
      <c r="A22" s="65" t="s">
        <v>0</v>
      </c>
      <c r="B22" s="66" t="s">
        <v>1</v>
      </c>
      <c r="C22" s="66" t="s">
        <v>2</v>
      </c>
      <c r="D22" s="66" t="s">
        <v>3</v>
      </c>
      <c r="E22" s="66" t="s">
        <v>4</v>
      </c>
      <c r="F22" s="66" t="s">
        <v>5</v>
      </c>
      <c r="G22" s="67" t="s">
        <v>6</v>
      </c>
      <c r="H22" s="68" t="s">
        <v>7</v>
      </c>
      <c r="I22" s="68" t="s">
        <v>8</v>
      </c>
    </row>
    <row r="23" spans="1:18" x14ac:dyDescent="0.25">
      <c r="A23" s="69">
        <v>21</v>
      </c>
      <c r="B23" s="70" t="s">
        <v>9</v>
      </c>
      <c r="C23" s="71">
        <f>SUM(C24:C29)</f>
        <v>33562987</v>
      </c>
      <c r="D23" s="71">
        <f>SUM(D24:D29)</f>
        <v>4420449</v>
      </c>
      <c r="E23" s="71">
        <f>C23-D23</f>
        <v>29142538</v>
      </c>
      <c r="F23" s="71">
        <f>SUM(F24:F29)</f>
        <v>4420449</v>
      </c>
      <c r="G23" s="71">
        <f>D23-F23</f>
        <v>0</v>
      </c>
      <c r="H23" s="72">
        <f>+D23/C23</f>
        <v>0.13170606656672126</v>
      </c>
      <c r="I23" s="72">
        <f>F23/C23</f>
        <v>0.13170606656672126</v>
      </c>
      <c r="J23" s="73"/>
      <c r="K23" s="73"/>
      <c r="L23" s="73"/>
      <c r="M23" s="73"/>
      <c r="N23" s="73"/>
      <c r="O23" s="73"/>
      <c r="P23" s="73"/>
      <c r="Q23" s="73"/>
      <c r="R23" s="73"/>
    </row>
    <row r="24" spans="1:18" outlineLevel="1" x14ac:dyDescent="0.25">
      <c r="A24" s="69"/>
      <c r="B24" s="10" t="s">
        <v>10</v>
      </c>
      <c r="C24" s="74">
        <f>33562987-SUM(C25:C29)</f>
        <v>33083716</v>
      </c>
      <c r="D24" s="74">
        <f>4420449-SUM(D25:D29)</f>
        <v>4345964</v>
      </c>
      <c r="E24" s="74">
        <f t="shared" ref="E24:E72" si="5">C24-D24</f>
        <v>28737752</v>
      </c>
      <c r="F24" s="74">
        <f>4420449-SUM(F25:F29)</f>
        <v>4345964</v>
      </c>
      <c r="G24" s="74">
        <f t="shared" ref="G24:G72" si="6">D24-F24</f>
        <v>0</v>
      </c>
      <c r="H24" s="75">
        <f t="shared" ref="H24:H60" si="7">+D24/C24</f>
        <v>0.13136263169469839</v>
      </c>
      <c r="I24" s="75">
        <f t="shared" ref="I24:I73" si="8">F24/C24</f>
        <v>0.13136263169469839</v>
      </c>
      <c r="J24" s="73"/>
      <c r="K24" s="73"/>
      <c r="L24" s="73"/>
      <c r="M24" s="73"/>
      <c r="N24" s="73"/>
      <c r="O24" s="73"/>
      <c r="P24" s="73"/>
      <c r="Q24" s="73"/>
      <c r="R24" s="73"/>
    </row>
    <row r="25" spans="1:18" outlineLevel="1" x14ac:dyDescent="0.25">
      <c r="A25" s="69"/>
      <c r="B25" s="10" t="s">
        <v>11</v>
      </c>
      <c r="C25" s="74">
        <v>141530</v>
      </c>
      <c r="D25" s="74">
        <v>18090</v>
      </c>
      <c r="E25" s="74">
        <f t="shared" si="5"/>
        <v>123440</v>
      </c>
      <c r="F25" s="74">
        <v>18090</v>
      </c>
      <c r="G25" s="74">
        <f t="shared" si="6"/>
        <v>0</v>
      </c>
      <c r="H25" s="75">
        <f t="shared" si="7"/>
        <v>0.12781742386773123</v>
      </c>
      <c r="I25" s="75">
        <f t="shared" si="8"/>
        <v>0.12781742386773123</v>
      </c>
      <c r="J25" s="73"/>
      <c r="K25" s="73"/>
      <c r="L25" s="73"/>
      <c r="M25" s="73"/>
      <c r="N25" s="73"/>
      <c r="O25" s="73"/>
      <c r="P25" s="73"/>
      <c r="Q25" s="73"/>
      <c r="R25" s="73"/>
    </row>
    <row r="26" spans="1:18" outlineLevel="1" x14ac:dyDescent="0.25">
      <c r="A26" s="69"/>
      <c r="B26" s="10" t="s">
        <v>12</v>
      </c>
      <c r="C26" s="135">
        <v>130513</v>
      </c>
      <c r="D26" s="135">
        <v>13157</v>
      </c>
      <c r="E26" s="74">
        <f t="shared" si="5"/>
        <v>117356</v>
      </c>
      <c r="F26" s="74">
        <v>13157</v>
      </c>
      <c r="G26" s="74">
        <f t="shared" si="6"/>
        <v>0</v>
      </c>
      <c r="H26" s="75">
        <f t="shared" si="7"/>
        <v>0.10080988100802218</v>
      </c>
      <c r="I26" s="75">
        <f t="shared" si="8"/>
        <v>0.10080988100802218</v>
      </c>
      <c r="J26" s="73"/>
      <c r="K26" s="73"/>
      <c r="L26" s="73"/>
      <c r="M26" s="73"/>
      <c r="N26" s="73"/>
      <c r="O26" s="73"/>
      <c r="P26" s="73"/>
      <c r="Q26" s="73"/>
      <c r="R26" s="73"/>
    </row>
    <row r="27" spans="1:18" outlineLevel="1" x14ac:dyDescent="0.25">
      <c r="A27" s="69"/>
      <c r="B27" s="10" t="s">
        <v>13</v>
      </c>
      <c r="C27" s="135">
        <v>64800</v>
      </c>
      <c r="D27" s="135">
        <v>4210</v>
      </c>
      <c r="E27" s="74">
        <f t="shared" si="5"/>
        <v>60590</v>
      </c>
      <c r="F27" s="74">
        <v>4210</v>
      </c>
      <c r="G27" s="74">
        <f t="shared" si="6"/>
        <v>0</v>
      </c>
      <c r="H27" s="75">
        <f t="shared" si="7"/>
        <v>6.496913580246913E-2</v>
      </c>
      <c r="I27" s="75">
        <f t="shared" si="8"/>
        <v>6.496913580246913E-2</v>
      </c>
      <c r="J27" s="73"/>
      <c r="K27" s="73"/>
      <c r="L27" s="73"/>
      <c r="M27" s="73"/>
      <c r="N27" s="73"/>
      <c r="O27" s="73"/>
      <c r="P27" s="73"/>
      <c r="Q27" s="73"/>
      <c r="R27" s="73"/>
    </row>
    <row r="28" spans="1:18" outlineLevel="1" x14ac:dyDescent="0.25">
      <c r="A28" s="69"/>
      <c r="B28" s="10" t="s">
        <v>14</v>
      </c>
      <c r="C28" s="135">
        <v>14326</v>
      </c>
      <c r="D28" s="135">
        <v>0</v>
      </c>
      <c r="E28" s="74">
        <f t="shared" si="5"/>
        <v>14326</v>
      </c>
      <c r="F28" s="74">
        <v>0</v>
      </c>
      <c r="G28" s="74">
        <f t="shared" si="6"/>
        <v>0</v>
      </c>
      <c r="H28" s="75">
        <f t="shared" si="7"/>
        <v>0</v>
      </c>
      <c r="I28" s="75">
        <f t="shared" si="8"/>
        <v>0</v>
      </c>
      <c r="J28" s="73"/>
      <c r="K28" s="73"/>
      <c r="L28" s="73"/>
      <c r="M28" s="73"/>
      <c r="N28" s="73"/>
      <c r="O28" s="73"/>
      <c r="P28" s="73"/>
      <c r="Q28" s="73"/>
      <c r="R28" s="73"/>
    </row>
    <row r="29" spans="1:18" outlineLevel="1" x14ac:dyDescent="0.25">
      <c r="A29" s="69"/>
      <c r="B29" s="10" t="s">
        <v>15</v>
      </c>
      <c r="C29" s="135">
        <v>128102</v>
      </c>
      <c r="D29" s="135">
        <v>39028</v>
      </c>
      <c r="E29" s="74">
        <f t="shared" si="5"/>
        <v>89074</v>
      </c>
      <c r="F29" s="74">
        <v>39028</v>
      </c>
      <c r="G29" s="74">
        <f t="shared" si="6"/>
        <v>0</v>
      </c>
      <c r="H29" s="75">
        <f t="shared" si="7"/>
        <v>0.30466347129631077</v>
      </c>
      <c r="I29" s="75">
        <f t="shared" si="8"/>
        <v>0.30466347129631077</v>
      </c>
      <c r="J29" s="73"/>
      <c r="K29" s="73"/>
      <c r="L29" s="73"/>
      <c r="M29" s="73"/>
      <c r="N29" s="73"/>
      <c r="O29" s="73"/>
      <c r="P29" s="73"/>
      <c r="Q29" s="73"/>
      <c r="R29" s="73"/>
    </row>
    <row r="30" spans="1:18" x14ac:dyDescent="0.25">
      <c r="A30" s="69">
        <v>22</v>
      </c>
      <c r="B30" s="77" t="s">
        <v>16</v>
      </c>
      <c r="C30" s="136">
        <v>8354232</v>
      </c>
      <c r="D30" s="136">
        <v>3872653</v>
      </c>
      <c r="E30" s="71">
        <f t="shared" si="5"/>
        <v>4481579</v>
      </c>
      <c r="F30" s="71">
        <v>1234500</v>
      </c>
      <c r="G30" s="71">
        <f t="shared" si="6"/>
        <v>2638153</v>
      </c>
      <c r="H30" s="72">
        <f t="shared" si="7"/>
        <v>0.46355583613191492</v>
      </c>
      <c r="I30" s="72">
        <f t="shared" si="8"/>
        <v>0.14776941794290607</v>
      </c>
      <c r="J30" s="73"/>
      <c r="K30" s="73"/>
      <c r="L30" s="73"/>
      <c r="M30" s="73"/>
      <c r="N30" s="73"/>
      <c r="O30" s="73"/>
      <c r="P30" s="73"/>
      <c r="Q30" s="73"/>
      <c r="R30" s="73"/>
    </row>
    <row r="31" spans="1:18" x14ac:dyDescent="0.25">
      <c r="A31" s="69">
        <v>23</v>
      </c>
      <c r="B31" s="77" t="s">
        <v>31</v>
      </c>
      <c r="C31" s="136">
        <v>339052</v>
      </c>
      <c r="D31" s="136">
        <v>0</v>
      </c>
      <c r="E31" s="71">
        <f t="shared" si="5"/>
        <v>339052</v>
      </c>
      <c r="F31" s="71">
        <v>0</v>
      </c>
      <c r="G31" s="71">
        <f t="shared" si="6"/>
        <v>0</v>
      </c>
      <c r="H31" s="72">
        <f t="shared" si="7"/>
        <v>0</v>
      </c>
      <c r="I31" s="72">
        <f t="shared" si="8"/>
        <v>0</v>
      </c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69">
        <v>24</v>
      </c>
      <c r="B32" s="77" t="s">
        <v>32</v>
      </c>
      <c r="C32" s="136">
        <f>C33+C39+C41+C49</f>
        <v>13714737</v>
      </c>
      <c r="D32" s="136">
        <f>D33+D39+D41+D49</f>
        <v>3631260</v>
      </c>
      <c r="E32" s="71">
        <f t="shared" si="5"/>
        <v>10083477</v>
      </c>
      <c r="F32" s="136">
        <f>F33+F39+F41+F49</f>
        <v>2112664</v>
      </c>
      <c r="G32" s="71">
        <f t="shared" si="6"/>
        <v>1518596</v>
      </c>
      <c r="H32" s="72">
        <f t="shared" si="7"/>
        <v>0.26477066239039071</v>
      </c>
      <c r="I32" s="72">
        <f t="shared" si="8"/>
        <v>0.15404334767775715</v>
      </c>
      <c r="J32" s="73"/>
      <c r="K32" s="73"/>
      <c r="L32" s="73"/>
      <c r="M32" s="73"/>
      <c r="N32" s="73"/>
      <c r="O32" s="73"/>
      <c r="P32" s="73"/>
      <c r="Q32" s="73"/>
      <c r="R32" s="73"/>
    </row>
    <row r="33" spans="1:18" s="82" customFormat="1" x14ac:dyDescent="0.25">
      <c r="A33" s="78" t="s">
        <v>33</v>
      </c>
      <c r="B33" s="79" t="s">
        <v>34</v>
      </c>
      <c r="C33" s="137">
        <f>SUM(C34:C38)</f>
        <v>7447020</v>
      </c>
      <c r="D33" s="137">
        <f>SUM(D34:D38)</f>
        <v>2474070</v>
      </c>
      <c r="E33" s="80">
        <f t="shared" si="5"/>
        <v>4972950</v>
      </c>
      <c r="F33" s="80">
        <f>SUM(F34:F38)</f>
        <v>1918121</v>
      </c>
      <c r="G33" s="80">
        <f t="shared" si="6"/>
        <v>555949</v>
      </c>
      <c r="H33" s="81">
        <f t="shared" si="7"/>
        <v>0.33222282201471193</v>
      </c>
      <c r="I33" s="81">
        <f t="shared" si="8"/>
        <v>0.25756893361371397</v>
      </c>
      <c r="J33" s="73"/>
      <c r="K33" s="73"/>
      <c r="L33" s="73"/>
      <c r="M33" s="73"/>
      <c r="N33" s="73"/>
      <c r="O33" s="73"/>
      <c r="P33" s="73"/>
      <c r="Q33" s="73"/>
      <c r="R33" s="73"/>
    </row>
    <row r="34" spans="1:18" x14ac:dyDescent="0.25">
      <c r="A34" s="83" t="s">
        <v>180</v>
      </c>
      <c r="B34" s="84" t="s">
        <v>93</v>
      </c>
      <c r="C34" s="138">
        <v>3549431</v>
      </c>
      <c r="D34" s="138">
        <v>1695117</v>
      </c>
      <c r="E34" s="85">
        <f t="shared" si="5"/>
        <v>1854314</v>
      </c>
      <c r="F34" s="85">
        <v>1139168</v>
      </c>
      <c r="G34" s="85">
        <f t="shared" si="6"/>
        <v>555949</v>
      </c>
      <c r="H34" s="75">
        <f t="shared" si="7"/>
        <v>0.47757429289370606</v>
      </c>
      <c r="I34" s="75">
        <f t="shared" si="8"/>
        <v>0.32094383578663738</v>
      </c>
      <c r="J34" s="73"/>
      <c r="K34" s="73"/>
      <c r="L34" s="73"/>
      <c r="M34" s="73"/>
      <c r="N34" s="73"/>
      <c r="O34" s="73"/>
      <c r="P34" s="73"/>
      <c r="Q34" s="73"/>
      <c r="R34" s="73"/>
    </row>
    <row r="35" spans="1:18" x14ac:dyDescent="0.25">
      <c r="A35" s="83" t="s">
        <v>181</v>
      </c>
      <c r="B35" s="84" t="s">
        <v>94</v>
      </c>
      <c r="C35" s="138">
        <v>78925</v>
      </c>
      <c r="D35" s="138">
        <v>78925</v>
      </c>
      <c r="E35" s="85">
        <f t="shared" si="5"/>
        <v>0</v>
      </c>
      <c r="F35" s="85">
        <v>78925</v>
      </c>
      <c r="G35" s="85">
        <f t="shared" si="6"/>
        <v>0</v>
      </c>
      <c r="H35" s="75">
        <f t="shared" si="7"/>
        <v>1</v>
      </c>
      <c r="I35" s="75">
        <f t="shared" si="8"/>
        <v>1</v>
      </c>
      <c r="J35" s="73"/>
      <c r="K35" s="73"/>
      <c r="L35" s="73"/>
      <c r="M35" s="73"/>
      <c r="N35" s="73"/>
      <c r="O35" s="73"/>
      <c r="P35" s="73"/>
      <c r="Q35" s="73"/>
      <c r="R35" s="73"/>
    </row>
    <row r="36" spans="1:18" x14ac:dyDescent="0.25">
      <c r="A36" s="83" t="s">
        <v>182</v>
      </c>
      <c r="B36" s="84" t="s">
        <v>95</v>
      </c>
      <c r="C36" s="138">
        <v>2079813</v>
      </c>
      <c r="D36" s="138">
        <v>693271</v>
      </c>
      <c r="E36" s="85">
        <f t="shared" si="5"/>
        <v>1386542</v>
      </c>
      <c r="F36" s="85">
        <v>693271</v>
      </c>
      <c r="G36" s="85">
        <f t="shared" si="6"/>
        <v>0</v>
      </c>
      <c r="H36" s="75">
        <f t="shared" si="7"/>
        <v>0.33333333333333331</v>
      </c>
      <c r="I36" s="75">
        <f t="shared" si="8"/>
        <v>0.33333333333333331</v>
      </c>
      <c r="J36" s="73"/>
      <c r="K36" s="73"/>
      <c r="L36" s="73"/>
      <c r="M36" s="73"/>
      <c r="N36" s="73"/>
      <c r="O36" s="73"/>
      <c r="P36" s="73"/>
      <c r="Q36" s="73"/>
      <c r="R36" s="73"/>
    </row>
    <row r="37" spans="1:18" x14ac:dyDescent="0.25">
      <c r="A37" s="83" t="s">
        <v>183</v>
      </c>
      <c r="B37" s="84" t="s">
        <v>96</v>
      </c>
      <c r="C37" s="138">
        <v>185170</v>
      </c>
      <c r="D37" s="138">
        <v>6757</v>
      </c>
      <c r="E37" s="85">
        <f t="shared" si="5"/>
        <v>178413</v>
      </c>
      <c r="F37" s="85">
        <v>6757</v>
      </c>
      <c r="G37" s="85">
        <f t="shared" si="6"/>
        <v>0</v>
      </c>
      <c r="H37" s="75">
        <f t="shared" si="7"/>
        <v>3.6490792244964085E-2</v>
      </c>
      <c r="I37" s="75">
        <f t="shared" si="8"/>
        <v>3.6490792244964085E-2</v>
      </c>
      <c r="J37" s="73"/>
      <c r="K37" s="73"/>
      <c r="L37" s="73"/>
      <c r="M37" s="73"/>
      <c r="N37" s="73"/>
      <c r="O37" s="73"/>
      <c r="P37" s="73"/>
      <c r="Q37" s="73"/>
      <c r="R37" s="73"/>
    </row>
    <row r="38" spans="1:18" x14ac:dyDescent="0.25">
      <c r="A38" s="83" t="s">
        <v>208</v>
      </c>
      <c r="B38" s="84" t="s">
        <v>209</v>
      </c>
      <c r="C38" s="138">
        <v>1553681</v>
      </c>
      <c r="D38" s="138">
        <v>0</v>
      </c>
      <c r="E38" s="85">
        <f t="shared" si="5"/>
        <v>1553681</v>
      </c>
      <c r="F38" s="85">
        <v>0</v>
      </c>
      <c r="G38" s="85">
        <f t="shared" si="6"/>
        <v>0</v>
      </c>
      <c r="H38" s="75">
        <f t="shared" si="7"/>
        <v>0</v>
      </c>
      <c r="I38" s="75">
        <f t="shared" si="8"/>
        <v>0</v>
      </c>
      <c r="J38" s="73"/>
      <c r="K38" s="73"/>
      <c r="L38" s="73"/>
      <c r="M38" s="73"/>
      <c r="N38" s="73"/>
      <c r="O38" s="73"/>
      <c r="P38" s="73"/>
      <c r="Q38" s="73"/>
      <c r="R38" s="73"/>
    </row>
    <row r="39" spans="1:18" hidden="1" x14ac:dyDescent="0.25">
      <c r="A39" s="78" t="s">
        <v>51</v>
      </c>
      <c r="B39" s="79" t="s">
        <v>52</v>
      </c>
      <c r="C39" s="139">
        <f>+C40</f>
        <v>0</v>
      </c>
      <c r="D39" s="139">
        <f>+D40</f>
        <v>0</v>
      </c>
      <c r="E39" s="86">
        <f t="shared" si="5"/>
        <v>0</v>
      </c>
      <c r="F39" s="86">
        <f>+F40</f>
        <v>0</v>
      </c>
      <c r="G39" s="86">
        <f t="shared" si="6"/>
        <v>0</v>
      </c>
      <c r="H39" s="72" t="e">
        <f t="shared" si="7"/>
        <v>#DIV/0!</v>
      </c>
      <c r="I39" s="72" t="e">
        <f t="shared" si="8"/>
        <v>#DIV/0!</v>
      </c>
      <c r="J39" s="73"/>
      <c r="K39" s="73"/>
      <c r="L39" s="73"/>
      <c r="M39" s="73"/>
      <c r="N39" s="73"/>
      <c r="O39" s="73"/>
      <c r="P39" s="73"/>
      <c r="Q39" s="73"/>
      <c r="R39" s="73"/>
    </row>
    <row r="40" spans="1:18" hidden="1" x14ac:dyDescent="0.25">
      <c r="A40" s="83" t="s">
        <v>210</v>
      </c>
      <c r="B40" s="84" t="s">
        <v>211</v>
      </c>
      <c r="C40" s="138"/>
      <c r="D40" s="138"/>
      <c r="E40" s="85">
        <f t="shared" si="5"/>
        <v>0</v>
      </c>
      <c r="F40" s="85"/>
      <c r="G40" s="85">
        <f t="shared" si="6"/>
        <v>0</v>
      </c>
      <c r="H40" s="75" t="e">
        <f t="shared" si="7"/>
        <v>#DIV/0!</v>
      </c>
      <c r="I40" s="75" t="e">
        <f t="shared" si="8"/>
        <v>#DIV/0!</v>
      </c>
      <c r="J40" s="73"/>
      <c r="K40" s="73"/>
      <c r="L40" s="73"/>
      <c r="M40" s="73"/>
      <c r="N40" s="73"/>
      <c r="O40" s="73"/>
      <c r="P40" s="73"/>
      <c r="Q40" s="73"/>
      <c r="R40" s="73"/>
    </row>
    <row r="41" spans="1:18" s="88" customFormat="1" x14ac:dyDescent="0.25">
      <c r="A41" s="78" t="s">
        <v>55</v>
      </c>
      <c r="B41" s="79" t="s">
        <v>56</v>
      </c>
      <c r="C41" s="139">
        <f>SUM(C42:C48)</f>
        <v>6130065</v>
      </c>
      <c r="D41" s="139">
        <f>SUM(D42:D48)</f>
        <v>1157190</v>
      </c>
      <c r="E41" s="86">
        <f t="shared" si="5"/>
        <v>4972875</v>
      </c>
      <c r="F41" s="139">
        <f>SUM(F42:F48)</f>
        <v>194543</v>
      </c>
      <c r="G41" s="86">
        <f t="shared" si="6"/>
        <v>962647</v>
      </c>
      <c r="H41" s="72">
        <f t="shared" si="7"/>
        <v>0.18877287598092354</v>
      </c>
      <c r="I41" s="72">
        <f t="shared" si="8"/>
        <v>3.1735878820208271E-2</v>
      </c>
      <c r="J41" s="73"/>
      <c r="K41" s="87"/>
      <c r="L41" s="87"/>
      <c r="M41" s="87"/>
      <c r="N41" s="87"/>
      <c r="O41" s="87"/>
      <c r="P41" s="87"/>
      <c r="Q41" s="87"/>
      <c r="R41" s="87"/>
    </row>
    <row r="42" spans="1:18" x14ac:dyDescent="0.25">
      <c r="A42" s="83" t="s">
        <v>184</v>
      </c>
      <c r="B42" s="84" t="s">
        <v>97</v>
      </c>
      <c r="C42" s="138">
        <v>2154045</v>
      </c>
      <c r="D42" s="138">
        <v>514901</v>
      </c>
      <c r="E42" s="85">
        <f t="shared" si="5"/>
        <v>1639144</v>
      </c>
      <c r="F42" s="85">
        <v>90103</v>
      </c>
      <c r="G42" s="85">
        <f t="shared" si="6"/>
        <v>424798</v>
      </c>
      <c r="H42" s="75">
        <f t="shared" si="7"/>
        <v>0.23903911013929607</v>
      </c>
      <c r="I42" s="75">
        <f t="shared" si="8"/>
        <v>4.1829673939030983E-2</v>
      </c>
      <c r="J42" s="73"/>
      <c r="K42" s="73"/>
      <c r="L42" s="73"/>
      <c r="M42" s="73"/>
      <c r="N42" s="73"/>
      <c r="O42" s="73"/>
      <c r="P42" s="73"/>
      <c r="Q42" s="73"/>
      <c r="R42" s="73"/>
    </row>
    <row r="43" spans="1:18" x14ac:dyDescent="0.25">
      <c r="A43" s="83" t="s">
        <v>185</v>
      </c>
      <c r="B43" s="84" t="s">
        <v>98</v>
      </c>
      <c r="C43" s="138">
        <v>167205</v>
      </c>
      <c r="D43" s="138">
        <v>55905</v>
      </c>
      <c r="E43" s="85">
        <f t="shared" si="5"/>
        <v>111300</v>
      </c>
      <c r="F43" s="85">
        <v>11444</v>
      </c>
      <c r="G43" s="85">
        <f t="shared" si="6"/>
        <v>44461</v>
      </c>
      <c r="H43" s="75">
        <f t="shared" si="7"/>
        <v>0.33435004934062978</v>
      </c>
      <c r="I43" s="75">
        <f>F43/C43</f>
        <v>6.8442929338237493E-2</v>
      </c>
      <c r="J43" s="73"/>
      <c r="K43" s="73"/>
      <c r="L43" s="73"/>
      <c r="M43" s="73"/>
      <c r="N43" s="73"/>
      <c r="O43" s="73"/>
      <c r="P43" s="73"/>
      <c r="Q43" s="73"/>
      <c r="R43" s="73"/>
    </row>
    <row r="44" spans="1:18" x14ac:dyDescent="0.25">
      <c r="A44" s="83" t="s">
        <v>186</v>
      </c>
      <c r="B44" s="84" t="s">
        <v>99</v>
      </c>
      <c r="C44" s="138">
        <v>277835</v>
      </c>
      <c r="D44" s="138">
        <v>119789</v>
      </c>
      <c r="E44" s="85">
        <f t="shared" si="5"/>
        <v>158046</v>
      </c>
      <c r="F44" s="85">
        <v>19985</v>
      </c>
      <c r="G44" s="85">
        <f t="shared" si="6"/>
        <v>99804</v>
      </c>
      <c r="H44" s="75">
        <f t="shared" si="7"/>
        <v>0.43115158277394855</v>
      </c>
      <c r="I44" s="75">
        <f t="shared" si="8"/>
        <v>7.1931182176471653E-2</v>
      </c>
      <c r="J44" s="73"/>
      <c r="K44" s="73"/>
      <c r="L44" s="73"/>
      <c r="M44" s="73"/>
      <c r="N44" s="73"/>
      <c r="O44" s="73"/>
      <c r="P44" s="73"/>
      <c r="Q44" s="73"/>
      <c r="R44" s="73"/>
    </row>
    <row r="45" spans="1:18" x14ac:dyDescent="0.25">
      <c r="A45" s="83" t="s">
        <v>187</v>
      </c>
      <c r="B45" s="89" t="s">
        <v>176</v>
      </c>
      <c r="C45" s="138">
        <v>527109</v>
      </c>
      <c r="D45" s="138">
        <v>206052</v>
      </c>
      <c r="E45" s="85">
        <f t="shared" si="5"/>
        <v>321057</v>
      </c>
      <c r="F45" s="85">
        <v>32546</v>
      </c>
      <c r="G45" s="85">
        <f t="shared" si="6"/>
        <v>173506</v>
      </c>
      <c r="H45" s="75">
        <f t="shared" si="7"/>
        <v>0.39090966005133665</v>
      </c>
      <c r="I45" s="75">
        <f t="shared" si="8"/>
        <v>6.1744345097503553E-2</v>
      </c>
      <c r="J45" s="73"/>
      <c r="K45" s="73"/>
      <c r="L45" s="73"/>
      <c r="M45" s="73"/>
      <c r="N45" s="73"/>
      <c r="O45" s="73"/>
      <c r="P45" s="73"/>
      <c r="Q45" s="73"/>
      <c r="R45" s="73"/>
    </row>
    <row r="46" spans="1:18" s="91" customFormat="1" x14ac:dyDescent="0.25">
      <c r="A46" s="83" t="s">
        <v>188</v>
      </c>
      <c r="B46" s="84" t="s">
        <v>177</v>
      </c>
      <c r="C46" s="85">
        <v>1034349</v>
      </c>
      <c r="D46" s="85">
        <v>128456</v>
      </c>
      <c r="E46" s="85">
        <f t="shared" si="5"/>
        <v>905893</v>
      </c>
      <c r="F46" s="85">
        <v>25486</v>
      </c>
      <c r="G46" s="85">
        <f t="shared" si="6"/>
        <v>102970</v>
      </c>
      <c r="H46" s="72">
        <f t="shared" si="7"/>
        <v>0.1241901911250458</v>
      </c>
      <c r="I46" s="72">
        <f t="shared" si="8"/>
        <v>2.4639652573744453E-2</v>
      </c>
      <c r="J46" s="73"/>
      <c r="K46" s="90"/>
      <c r="L46" s="90"/>
      <c r="M46" s="90"/>
      <c r="N46" s="90"/>
      <c r="O46" s="90"/>
      <c r="P46" s="90"/>
      <c r="Q46" s="90"/>
      <c r="R46" s="90"/>
    </row>
    <row r="47" spans="1:18" s="91" customFormat="1" x14ac:dyDescent="0.25">
      <c r="A47" s="83" t="s">
        <v>189</v>
      </c>
      <c r="B47" s="84" t="s">
        <v>110</v>
      </c>
      <c r="C47" s="85">
        <v>375022</v>
      </c>
      <c r="D47" s="85">
        <v>132087</v>
      </c>
      <c r="E47" s="85">
        <f t="shared" si="5"/>
        <v>242935</v>
      </c>
      <c r="F47" s="85">
        <v>14979</v>
      </c>
      <c r="G47" s="85">
        <f t="shared" si="6"/>
        <v>117108</v>
      </c>
      <c r="H47" s="72">
        <f t="shared" si="7"/>
        <v>0.35221133693489981</v>
      </c>
      <c r="I47" s="72">
        <f t="shared" si="8"/>
        <v>3.9941656756136971E-2</v>
      </c>
      <c r="J47" s="73"/>
      <c r="K47" s="90"/>
      <c r="L47" s="90"/>
      <c r="M47" s="90"/>
      <c r="N47" s="90"/>
      <c r="O47" s="90"/>
      <c r="P47" s="90"/>
      <c r="Q47" s="90"/>
      <c r="R47" s="90"/>
    </row>
    <row r="48" spans="1:18" s="91" customFormat="1" x14ac:dyDescent="0.25">
      <c r="A48" s="83" t="s">
        <v>337</v>
      </c>
      <c r="B48" s="84" t="s">
        <v>338</v>
      </c>
      <c r="C48" s="85">
        <v>1594500</v>
      </c>
      <c r="D48" s="85">
        <v>0</v>
      </c>
      <c r="E48" s="85">
        <f t="shared" si="5"/>
        <v>1594500</v>
      </c>
      <c r="F48" s="85">
        <v>0</v>
      </c>
      <c r="G48" s="85">
        <f t="shared" si="6"/>
        <v>0</v>
      </c>
      <c r="H48" s="72">
        <f t="shared" si="7"/>
        <v>0</v>
      </c>
      <c r="I48" s="72">
        <f t="shared" si="8"/>
        <v>0</v>
      </c>
      <c r="J48" s="73"/>
      <c r="K48" s="90"/>
      <c r="L48" s="90"/>
      <c r="M48" s="90"/>
      <c r="N48" s="90"/>
      <c r="O48" s="90"/>
      <c r="P48" s="90"/>
      <c r="Q48" s="90"/>
      <c r="R48" s="90"/>
    </row>
    <row r="49" spans="1:18" s="91" customFormat="1" x14ac:dyDescent="0.25">
      <c r="A49" s="78" t="s">
        <v>192</v>
      </c>
      <c r="B49" s="79" t="s">
        <v>193</v>
      </c>
      <c r="C49" s="80">
        <f>+C50</f>
        <v>137652</v>
      </c>
      <c r="D49" s="80">
        <f>+D50</f>
        <v>0</v>
      </c>
      <c r="E49" s="80">
        <f t="shared" si="5"/>
        <v>137652</v>
      </c>
      <c r="F49" s="80">
        <f>+F50</f>
        <v>0</v>
      </c>
      <c r="G49" s="80">
        <f t="shared" si="6"/>
        <v>0</v>
      </c>
      <c r="H49" s="81">
        <f t="shared" si="7"/>
        <v>0</v>
      </c>
      <c r="I49" s="81">
        <f t="shared" si="8"/>
        <v>0</v>
      </c>
      <c r="J49" s="73"/>
      <c r="K49" s="90"/>
      <c r="L49" s="90"/>
      <c r="M49" s="90"/>
      <c r="N49" s="90"/>
      <c r="O49" s="90"/>
      <c r="P49" s="90"/>
      <c r="Q49" s="90"/>
      <c r="R49" s="90"/>
    </row>
    <row r="50" spans="1:18" s="91" customFormat="1" x14ac:dyDescent="0.25">
      <c r="A50" s="83" t="s">
        <v>195</v>
      </c>
      <c r="B50" s="84" t="s">
        <v>196</v>
      </c>
      <c r="C50" s="85">
        <v>137652</v>
      </c>
      <c r="D50" s="85">
        <v>0</v>
      </c>
      <c r="E50" s="85">
        <f t="shared" si="5"/>
        <v>137652</v>
      </c>
      <c r="F50" s="85">
        <v>0</v>
      </c>
      <c r="G50" s="85">
        <f t="shared" si="6"/>
        <v>0</v>
      </c>
      <c r="H50" s="75">
        <f t="shared" si="7"/>
        <v>0</v>
      </c>
      <c r="I50" s="75">
        <f t="shared" si="8"/>
        <v>0</v>
      </c>
      <c r="J50" s="73"/>
      <c r="K50" s="90"/>
      <c r="L50" s="90"/>
      <c r="M50" s="90"/>
      <c r="N50" s="90"/>
      <c r="O50" s="90"/>
      <c r="P50" s="90"/>
      <c r="Q50" s="90"/>
      <c r="R50" s="90"/>
    </row>
    <row r="51" spans="1:18" s="88" customFormat="1" x14ac:dyDescent="0.25">
      <c r="A51" s="69">
        <v>25</v>
      </c>
      <c r="B51" s="77" t="s">
        <v>70</v>
      </c>
      <c r="C51" s="86">
        <v>17856</v>
      </c>
      <c r="D51" s="86">
        <v>156122</v>
      </c>
      <c r="E51" s="86">
        <f t="shared" si="5"/>
        <v>-138266</v>
      </c>
      <c r="F51" s="86">
        <v>151414</v>
      </c>
      <c r="G51" s="86">
        <f t="shared" si="6"/>
        <v>4708</v>
      </c>
      <c r="H51" s="72">
        <f>+D51/C51</f>
        <v>8.7433915770609314</v>
      </c>
      <c r="I51" s="72">
        <f t="shared" si="8"/>
        <v>8.4797267025089607</v>
      </c>
      <c r="J51" s="73"/>
      <c r="K51" s="87"/>
      <c r="L51" s="87"/>
      <c r="M51" s="87"/>
      <c r="N51" s="87"/>
      <c r="O51" s="87"/>
      <c r="P51" s="87"/>
      <c r="Q51" s="87"/>
      <c r="R51" s="87"/>
    </row>
    <row r="52" spans="1:18" s="82" customFormat="1" x14ac:dyDescent="0.25">
      <c r="A52" s="92">
        <v>29</v>
      </c>
      <c r="B52" s="93" t="s">
        <v>17</v>
      </c>
      <c r="C52" s="80">
        <f>SUM(C53:C57)</f>
        <v>2215792</v>
      </c>
      <c r="D52" s="80">
        <f>SUM(D53:D57)</f>
        <v>7177</v>
      </c>
      <c r="E52" s="80">
        <f t="shared" si="5"/>
        <v>2208615</v>
      </c>
      <c r="F52" s="80">
        <f>SUM(F53:F57)</f>
        <v>5450</v>
      </c>
      <c r="G52" s="80">
        <f t="shared" si="6"/>
        <v>1727</v>
      </c>
      <c r="H52" s="72">
        <f>+D52/C52</f>
        <v>3.2390224353188385E-3</v>
      </c>
      <c r="I52" s="72">
        <f t="shared" si="8"/>
        <v>2.4596171481799734E-3</v>
      </c>
      <c r="J52" s="73"/>
      <c r="K52" s="73"/>
      <c r="L52" s="73"/>
      <c r="M52" s="73"/>
      <c r="N52" s="73"/>
      <c r="O52" s="73"/>
      <c r="P52" s="73"/>
      <c r="Q52" s="73"/>
      <c r="R52" s="73"/>
    </row>
    <row r="53" spans="1:18" s="82" customFormat="1" x14ac:dyDescent="0.25">
      <c r="A53" s="94" t="s">
        <v>18</v>
      </c>
      <c r="B53" s="95" t="s">
        <v>19</v>
      </c>
      <c r="C53" s="85">
        <v>79725</v>
      </c>
      <c r="D53" s="85">
        <v>0</v>
      </c>
      <c r="E53" s="85">
        <f t="shared" si="5"/>
        <v>79725</v>
      </c>
      <c r="F53" s="85">
        <v>0</v>
      </c>
      <c r="G53" s="85">
        <f t="shared" si="6"/>
        <v>0</v>
      </c>
      <c r="H53" s="75">
        <f t="shared" si="7"/>
        <v>0</v>
      </c>
      <c r="I53" s="75">
        <f t="shared" si="8"/>
        <v>0</v>
      </c>
      <c r="J53" s="73"/>
      <c r="K53" s="73"/>
      <c r="L53" s="73"/>
      <c r="M53" s="73"/>
      <c r="N53" s="73"/>
      <c r="O53" s="73"/>
      <c r="P53" s="73"/>
      <c r="Q53" s="73"/>
      <c r="R53" s="73"/>
    </row>
    <row r="54" spans="1:18" ht="14.25" customHeight="1" x14ac:dyDescent="0.25">
      <c r="A54" s="94" t="s">
        <v>20</v>
      </c>
      <c r="B54" s="95" t="s">
        <v>21</v>
      </c>
      <c r="C54" s="85">
        <v>1691327</v>
      </c>
      <c r="D54" s="85">
        <v>4743</v>
      </c>
      <c r="E54" s="85">
        <f t="shared" si="5"/>
        <v>1686584</v>
      </c>
      <c r="F54" s="85">
        <v>3147</v>
      </c>
      <c r="G54" s="85">
        <f t="shared" si="6"/>
        <v>1596</v>
      </c>
      <c r="H54" s="75">
        <f t="shared" si="7"/>
        <v>2.8043069140385036E-3</v>
      </c>
      <c r="I54" s="75">
        <f t="shared" si="8"/>
        <v>1.860669166873112E-3</v>
      </c>
      <c r="J54" s="73"/>
      <c r="K54" s="73"/>
      <c r="L54" s="73"/>
      <c r="M54" s="73"/>
      <c r="N54" s="73"/>
      <c r="O54" s="73"/>
      <c r="P54" s="73"/>
      <c r="Q54" s="73"/>
      <c r="R54" s="73"/>
    </row>
    <row r="55" spans="1:18" x14ac:dyDescent="0.25">
      <c r="A55" s="83" t="s">
        <v>22</v>
      </c>
      <c r="B55" s="84" t="s">
        <v>23</v>
      </c>
      <c r="C55" s="85">
        <v>85307</v>
      </c>
      <c r="D55" s="85">
        <v>859</v>
      </c>
      <c r="E55" s="85">
        <f t="shared" si="5"/>
        <v>84448</v>
      </c>
      <c r="F55" s="85">
        <v>859</v>
      </c>
      <c r="G55" s="85">
        <f t="shared" si="6"/>
        <v>0</v>
      </c>
      <c r="H55" s="75">
        <f t="shared" si="7"/>
        <v>1.0069513638974526E-2</v>
      </c>
      <c r="I55" s="75">
        <f t="shared" si="8"/>
        <v>1.0069513638974526E-2</v>
      </c>
      <c r="J55" s="73"/>
      <c r="K55" s="73"/>
      <c r="L55" s="73"/>
      <c r="M55" s="73"/>
      <c r="N55" s="73"/>
      <c r="O55" s="73"/>
      <c r="P55" s="73"/>
      <c r="Q55" s="73"/>
      <c r="R55" s="73"/>
    </row>
    <row r="56" spans="1:18" x14ac:dyDescent="0.25">
      <c r="A56" s="83" t="s">
        <v>24</v>
      </c>
      <c r="B56" s="84" t="s">
        <v>25</v>
      </c>
      <c r="C56" s="85">
        <v>156709</v>
      </c>
      <c r="D56" s="85">
        <v>0</v>
      </c>
      <c r="E56" s="85">
        <f t="shared" si="5"/>
        <v>156709</v>
      </c>
      <c r="F56" s="85">
        <v>0</v>
      </c>
      <c r="G56" s="85">
        <f t="shared" si="6"/>
        <v>0</v>
      </c>
      <c r="H56" s="75">
        <f t="shared" si="7"/>
        <v>0</v>
      </c>
      <c r="I56" s="75">
        <f t="shared" si="8"/>
        <v>0</v>
      </c>
      <c r="J56" s="73"/>
      <c r="K56" s="73"/>
      <c r="L56" s="73"/>
      <c r="M56" s="73"/>
      <c r="N56" s="73"/>
      <c r="O56" s="73"/>
      <c r="P56" s="73"/>
      <c r="Q56" s="73"/>
      <c r="R56" s="73"/>
    </row>
    <row r="57" spans="1:18" x14ac:dyDescent="0.25">
      <c r="A57" s="83" t="s">
        <v>26</v>
      </c>
      <c r="B57" s="84" t="s">
        <v>27</v>
      </c>
      <c r="C57" s="85">
        <v>202724</v>
      </c>
      <c r="D57" s="85">
        <v>1575</v>
      </c>
      <c r="E57" s="85">
        <f t="shared" si="5"/>
        <v>201149</v>
      </c>
      <c r="F57" s="85">
        <v>1444</v>
      </c>
      <c r="G57" s="85">
        <f t="shared" si="6"/>
        <v>131</v>
      </c>
      <c r="H57" s="75">
        <f t="shared" si="7"/>
        <v>7.7691837177640537E-3</v>
      </c>
      <c r="I57" s="75">
        <f t="shared" si="8"/>
        <v>7.1229849450484403E-3</v>
      </c>
      <c r="J57" s="73"/>
      <c r="K57" s="73"/>
      <c r="L57" s="73"/>
      <c r="M57" s="73"/>
      <c r="N57" s="73"/>
      <c r="O57" s="73"/>
      <c r="P57" s="73"/>
      <c r="Q57" s="73"/>
      <c r="R57" s="73"/>
    </row>
    <row r="58" spans="1:18" hidden="1" x14ac:dyDescent="0.25">
      <c r="A58" s="179">
        <v>30</v>
      </c>
      <c r="B58" s="77" t="s">
        <v>205</v>
      </c>
      <c r="C58" s="86">
        <f>+C59</f>
        <v>0</v>
      </c>
      <c r="D58" s="86">
        <f>+D59</f>
        <v>0</v>
      </c>
      <c r="E58" s="86">
        <f t="shared" si="5"/>
        <v>0</v>
      </c>
      <c r="F58" s="86">
        <f>+F59</f>
        <v>0</v>
      </c>
      <c r="G58" s="86">
        <f t="shared" si="6"/>
        <v>0</v>
      </c>
      <c r="H58" s="72" t="e">
        <f t="shared" si="7"/>
        <v>#DIV/0!</v>
      </c>
      <c r="I58" s="72" t="e">
        <f t="shared" si="8"/>
        <v>#DIV/0!</v>
      </c>
      <c r="J58" s="73"/>
      <c r="K58" s="73"/>
      <c r="L58" s="73"/>
      <c r="M58" s="73"/>
      <c r="N58" s="73"/>
      <c r="O58" s="73"/>
      <c r="P58" s="73"/>
      <c r="Q58" s="73"/>
      <c r="R58" s="73"/>
    </row>
    <row r="59" spans="1:18" hidden="1" x14ac:dyDescent="0.25">
      <c r="A59" s="83" t="s">
        <v>202</v>
      </c>
      <c r="B59" s="84" t="s">
        <v>206</v>
      </c>
      <c r="C59" s="85"/>
      <c r="D59" s="85">
        <v>0</v>
      </c>
      <c r="E59" s="85">
        <f t="shared" si="5"/>
        <v>0</v>
      </c>
      <c r="F59" s="85">
        <v>0</v>
      </c>
      <c r="G59" s="85">
        <f t="shared" si="6"/>
        <v>0</v>
      </c>
      <c r="H59" s="75" t="e">
        <f>+D59/C59</f>
        <v>#DIV/0!</v>
      </c>
      <c r="I59" s="75" t="e">
        <f t="shared" si="8"/>
        <v>#DIV/0!</v>
      </c>
      <c r="J59" s="73"/>
      <c r="K59" s="73"/>
      <c r="L59" s="73"/>
      <c r="M59" s="73"/>
      <c r="N59" s="73"/>
      <c r="O59" s="73"/>
      <c r="P59" s="73"/>
      <c r="Q59" s="73"/>
      <c r="R59" s="73"/>
    </row>
    <row r="60" spans="1:18" s="88" customFormat="1" x14ac:dyDescent="0.25">
      <c r="A60" s="69">
        <v>31</v>
      </c>
      <c r="B60" s="77" t="s">
        <v>71</v>
      </c>
      <c r="C60" s="86">
        <f>+C61</f>
        <v>23455551</v>
      </c>
      <c r="D60" s="86">
        <f>+D61</f>
        <v>0</v>
      </c>
      <c r="E60" s="86">
        <f t="shared" si="5"/>
        <v>23455551</v>
      </c>
      <c r="F60" s="86">
        <f>+F61</f>
        <v>0</v>
      </c>
      <c r="G60" s="86">
        <f t="shared" si="6"/>
        <v>0</v>
      </c>
      <c r="H60" s="72">
        <f t="shared" si="7"/>
        <v>0</v>
      </c>
      <c r="I60" s="72">
        <f t="shared" si="8"/>
        <v>0</v>
      </c>
      <c r="J60" s="73"/>
      <c r="K60" s="87"/>
      <c r="L60" s="87"/>
      <c r="M60" s="87"/>
      <c r="N60" s="87"/>
      <c r="O60" s="87"/>
      <c r="P60" s="87"/>
      <c r="Q60" s="87"/>
      <c r="R60" s="87"/>
    </row>
    <row r="61" spans="1:18" x14ac:dyDescent="0.25">
      <c r="A61" s="83" t="s">
        <v>72</v>
      </c>
      <c r="B61" s="84" t="s">
        <v>73</v>
      </c>
      <c r="C61" s="85">
        <v>23455551</v>
      </c>
      <c r="D61" s="85">
        <v>0</v>
      </c>
      <c r="E61" s="85">
        <f t="shared" si="5"/>
        <v>23455551</v>
      </c>
      <c r="F61" s="85">
        <v>0</v>
      </c>
      <c r="G61" s="85">
        <f t="shared" si="6"/>
        <v>0</v>
      </c>
      <c r="H61" s="75">
        <f>+D61/C61</f>
        <v>0</v>
      </c>
      <c r="I61" s="75">
        <f t="shared" si="8"/>
        <v>0</v>
      </c>
      <c r="J61" s="73"/>
      <c r="K61" s="73"/>
      <c r="L61" s="73"/>
      <c r="M61" s="73"/>
      <c r="N61" s="73"/>
      <c r="O61" s="73"/>
      <c r="P61" s="73"/>
      <c r="Q61" s="73"/>
      <c r="R61" s="73"/>
    </row>
    <row r="62" spans="1:18" s="88" customFormat="1" x14ac:dyDescent="0.25">
      <c r="A62" s="96">
        <v>33</v>
      </c>
      <c r="B62" s="97" t="s">
        <v>74</v>
      </c>
      <c r="C62" s="98">
        <f>+C63+C65+C67</f>
        <v>8294963</v>
      </c>
      <c r="D62" s="98">
        <f>+D63+D65+D67</f>
        <v>13574</v>
      </c>
      <c r="E62" s="98">
        <f t="shared" si="5"/>
        <v>8281389</v>
      </c>
      <c r="F62" s="98">
        <f>+F63+F65+F67</f>
        <v>4529</v>
      </c>
      <c r="G62" s="98">
        <f t="shared" si="6"/>
        <v>9045</v>
      </c>
      <c r="H62" s="99">
        <f>+D62/C62</f>
        <v>1.6364147736403405E-3</v>
      </c>
      <c r="I62" s="99">
        <f t="shared" si="8"/>
        <v>5.4599399659769428E-4</v>
      </c>
      <c r="J62" s="87"/>
      <c r="K62" s="87"/>
      <c r="L62" s="87"/>
      <c r="M62" s="87"/>
      <c r="N62" s="87"/>
      <c r="O62" s="87"/>
      <c r="P62" s="87"/>
      <c r="Q62" s="87"/>
      <c r="R62" s="87"/>
    </row>
    <row r="63" spans="1:18" s="102" customFormat="1" x14ac:dyDescent="0.25">
      <c r="A63" s="100" t="s">
        <v>102</v>
      </c>
      <c r="B63" s="79" t="s">
        <v>34</v>
      </c>
      <c r="C63" s="80">
        <f>SUM(C64:C64)</f>
        <v>584650</v>
      </c>
      <c r="D63" s="80">
        <f>SUM(D64:D64)</f>
        <v>0</v>
      </c>
      <c r="E63" s="80">
        <f t="shared" si="5"/>
        <v>584650</v>
      </c>
      <c r="F63" s="80">
        <f>SUM(F64:F64)</f>
        <v>0</v>
      </c>
      <c r="G63" s="80">
        <f t="shared" si="6"/>
        <v>0</v>
      </c>
      <c r="H63" s="81">
        <f t="shared" ref="H63:H67" si="9">+D63/C63</f>
        <v>0</v>
      </c>
      <c r="I63" s="81">
        <f t="shared" si="8"/>
        <v>0</v>
      </c>
      <c r="J63" s="73"/>
      <c r="K63" s="101"/>
      <c r="L63" s="101"/>
      <c r="M63" s="101"/>
      <c r="N63" s="101"/>
      <c r="O63" s="101"/>
      <c r="P63" s="101"/>
      <c r="Q63" s="101"/>
      <c r="R63" s="101"/>
    </row>
    <row r="64" spans="1:18" x14ac:dyDescent="0.25">
      <c r="A64" s="103" t="s">
        <v>213</v>
      </c>
      <c r="B64" s="84" t="s">
        <v>103</v>
      </c>
      <c r="C64" s="85">
        <v>584650</v>
      </c>
      <c r="D64" s="85">
        <v>0</v>
      </c>
      <c r="E64" s="85">
        <f t="shared" si="5"/>
        <v>584650</v>
      </c>
      <c r="F64" s="85">
        <v>0</v>
      </c>
      <c r="G64" s="85">
        <f t="shared" si="6"/>
        <v>0</v>
      </c>
      <c r="H64" s="75">
        <f t="shared" si="9"/>
        <v>0</v>
      </c>
      <c r="I64" s="75">
        <f t="shared" si="8"/>
        <v>0</v>
      </c>
      <c r="J64" s="73"/>
      <c r="K64" s="73"/>
      <c r="L64" s="73"/>
      <c r="M64" s="73"/>
      <c r="N64" s="73"/>
      <c r="O64" s="73"/>
      <c r="P64" s="73"/>
      <c r="Q64" s="73"/>
      <c r="R64" s="73"/>
    </row>
    <row r="65" spans="1:18" x14ac:dyDescent="0.25">
      <c r="A65" s="100" t="s">
        <v>212</v>
      </c>
      <c r="B65" s="79" t="s">
        <v>52</v>
      </c>
      <c r="C65" s="80">
        <f>+C66</f>
        <v>4423670</v>
      </c>
      <c r="D65" s="80">
        <f>+D66</f>
        <v>0</v>
      </c>
      <c r="E65" s="80">
        <f t="shared" si="5"/>
        <v>4423670</v>
      </c>
      <c r="F65" s="80">
        <f>+F66</f>
        <v>0</v>
      </c>
      <c r="G65" s="80">
        <f t="shared" si="6"/>
        <v>0</v>
      </c>
      <c r="H65" s="81">
        <f t="shared" si="9"/>
        <v>0</v>
      </c>
      <c r="I65" s="81">
        <f t="shared" si="8"/>
        <v>0</v>
      </c>
      <c r="J65" s="73"/>
      <c r="K65" s="73"/>
      <c r="L65" s="73"/>
      <c r="M65" s="73"/>
      <c r="N65" s="73"/>
      <c r="O65" s="73"/>
      <c r="P65" s="73"/>
      <c r="Q65" s="73"/>
      <c r="R65" s="73"/>
    </row>
    <row r="66" spans="1:18" x14ac:dyDescent="0.25">
      <c r="A66" s="103" t="s">
        <v>214</v>
      </c>
      <c r="B66" s="84" t="s">
        <v>215</v>
      </c>
      <c r="C66" s="85">
        <v>4423670</v>
      </c>
      <c r="D66" s="85">
        <v>0</v>
      </c>
      <c r="E66" s="85">
        <f t="shared" si="5"/>
        <v>4423670</v>
      </c>
      <c r="F66" s="85">
        <v>0</v>
      </c>
      <c r="G66" s="85">
        <f t="shared" si="6"/>
        <v>0</v>
      </c>
      <c r="H66" s="75">
        <f t="shared" si="9"/>
        <v>0</v>
      </c>
      <c r="I66" s="75">
        <f t="shared" si="8"/>
        <v>0</v>
      </c>
      <c r="J66" s="73"/>
      <c r="K66" s="73"/>
      <c r="L66" s="73"/>
      <c r="M66" s="73"/>
      <c r="N66" s="73"/>
      <c r="O66" s="73"/>
      <c r="P66" s="73"/>
      <c r="Q66" s="73"/>
      <c r="R66" s="73"/>
    </row>
    <row r="67" spans="1:18" s="88" customFormat="1" x14ac:dyDescent="0.25">
      <c r="A67" s="92" t="s">
        <v>75</v>
      </c>
      <c r="B67" s="93" t="s">
        <v>56</v>
      </c>
      <c r="C67" s="86">
        <f>SUM(C68:C70)</f>
        <v>3286643</v>
      </c>
      <c r="D67" s="86">
        <f>SUM(D68:D70)</f>
        <v>13574</v>
      </c>
      <c r="E67" s="86">
        <f>+C67-D67</f>
        <v>3273069</v>
      </c>
      <c r="F67" s="86">
        <f>SUM(F68:F70)</f>
        <v>4529</v>
      </c>
      <c r="G67" s="86">
        <f>+D67-F67</f>
        <v>9045</v>
      </c>
      <c r="H67" s="72">
        <f t="shared" si="9"/>
        <v>4.1300500236867831E-3</v>
      </c>
      <c r="I67" s="72">
        <f t="shared" si="8"/>
        <v>1.3780018091408164E-3</v>
      </c>
      <c r="J67" s="73"/>
      <c r="K67" s="87"/>
      <c r="L67" s="87"/>
      <c r="M67" s="87"/>
      <c r="N67" s="87"/>
      <c r="O67" s="87"/>
      <c r="P67" s="87"/>
      <c r="Q67" s="87"/>
      <c r="R67" s="87"/>
    </row>
    <row r="68" spans="1:18" x14ac:dyDescent="0.25">
      <c r="A68" s="103">
        <v>3303005</v>
      </c>
      <c r="B68" s="84" t="s">
        <v>104</v>
      </c>
      <c r="C68" s="85">
        <v>700403</v>
      </c>
      <c r="D68" s="85">
        <v>0</v>
      </c>
      <c r="E68" s="85">
        <f t="shared" si="5"/>
        <v>700403</v>
      </c>
      <c r="F68" s="85">
        <v>0</v>
      </c>
      <c r="G68" s="85">
        <f t="shared" si="6"/>
        <v>0</v>
      </c>
      <c r="H68" s="75">
        <f>+D68/C68</f>
        <v>0</v>
      </c>
      <c r="I68" s="75">
        <f t="shared" si="8"/>
        <v>0</v>
      </c>
      <c r="J68" s="73"/>
      <c r="K68" s="73"/>
      <c r="L68" s="73"/>
      <c r="M68" s="73"/>
      <c r="N68" s="73"/>
      <c r="O68" s="73"/>
      <c r="P68" s="73"/>
      <c r="Q68" s="73"/>
      <c r="R68" s="73"/>
    </row>
    <row r="69" spans="1:18" x14ac:dyDescent="0.25">
      <c r="A69" s="103">
        <v>3303006</v>
      </c>
      <c r="B69" s="84" t="s">
        <v>103</v>
      </c>
      <c r="C69" s="85">
        <v>645131</v>
      </c>
      <c r="D69" s="85">
        <v>13574</v>
      </c>
      <c r="E69" s="85">
        <f t="shared" si="5"/>
        <v>631557</v>
      </c>
      <c r="F69" s="85">
        <v>4529</v>
      </c>
      <c r="G69" s="85">
        <f t="shared" si="6"/>
        <v>9045</v>
      </c>
      <c r="H69" s="75">
        <f>+D69/C69</f>
        <v>2.1040687860295042E-2</v>
      </c>
      <c r="I69" s="75">
        <f t="shared" si="8"/>
        <v>7.0202796021273202E-3</v>
      </c>
      <c r="J69" s="73"/>
      <c r="K69" s="73"/>
      <c r="L69" s="73"/>
      <c r="M69" s="73"/>
      <c r="N69" s="73"/>
      <c r="O69" s="73"/>
      <c r="P69" s="73"/>
      <c r="Q69" s="73"/>
      <c r="R69" s="73"/>
    </row>
    <row r="70" spans="1:18" x14ac:dyDescent="0.25">
      <c r="A70" s="103">
        <v>3303007</v>
      </c>
      <c r="B70" s="84" t="s">
        <v>216</v>
      </c>
      <c r="C70" s="85">
        <v>1941109</v>
      </c>
      <c r="D70" s="85">
        <v>0</v>
      </c>
      <c r="E70" s="85">
        <f t="shared" si="5"/>
        <v>1941109</v>
      </c>
      <c r="F70" s="85">
        <v>0</v>
      </c>
      <c r="G70" s="85">
        <f t="shared" si="6"/>
        <v>0</v>
      </c>
      <c r="H70" s="75">
        <f t="shared" ref="H70" si="10">+D70/C70</f>
        <v>0</v>
      </c>
      <c r="I70" s="75">
        <f t="shared" si="8"/>
        <v>0</v>
      </c>
      <c r="J70" s="73"/>
      <c r="K70" s="73"/>
      <c r="L70" s="73"/>
      <c r="M70" s="73"/>
      <c r="N70" s="73"/>
      <c r="O70" s="73"/>
      <c r="P70" s="73"/>
      <c r="Q70" s="73"/>
      <c r="R70" s="73"/>
    </row>
    <row r="71" spans="1:18" s="88" customFormat="1" x14ac:dyDescent="0.25">
      <c r="A71" s="92">
        <v>34</v>
      </c>
      <c r="B71" s="93" t="s">
        <v>78</v>
      </c>
      <c r="C71" s="86">
        <f>C72</f>
        <v>10</v>
      </c>
      <c r="D71" s="86">
        <f>D72</f>
        <v>3491481</v>
      </c>
      <c r="E71" s="86">
        <f t="shared" si="5"/>
        <v>-3491471</v>
      </c>
      <c r="F71" s="86">
        <f>F72</f>
        <v>3491481</v>
      </c>
      <c r="G71" s="86">
        <f t="shared" si="6"/>
        <v>0</v>
      </c>
      <c r="H71" s="72">
        <f>+D71/C71</f>
        <v>349148.1</v>
      </c>
      <c r="I71" s="72">
        <f t="shared" si="8"/>
        <v>349148.1</v>
      </c>
      <c r="J71" s="73"/>
      <c r="K71" s="87"/>
      <c r="L71" s="87"/>
      <c r="M71" s="87"/>
      <c r="N71" s="87"/>
      <c r="O71" s="87"/>
      <c r="P71" s="87"/>
      <c r="Q71" s="87"/>
      <c r="R71" s="87"/>
    </row>
    <row r="72" spans="1:18" x14ac:dyDescent="0.25">
      <c r="A72" s="103" t="s">
        <v>79</v>
      </c>
      <c r="B72" s="104" t="s">
        <v>80</v>
      </c>
      <c r="C72" s="85">
        <v>10</v>
      </c>
      <c r="D72" s="85">
        <v>3491481</v>
      </c>
      <c r="E72" s="85">
        <f t="shared" si="5"/>
        <v>-3491471</v>
      </c>
      <c r="F72" s="85">
        <v>3491481</v>
      </c>
      <c r="G72" s="85">
        <f t="shared" si="6"/>
        <v>0</v>
      </c>
      <c r="H72" s="75">
        <f t="shared" ref="H72" si="11">+D72/C72</f>
        <v>349148.1</v>
      </c>
      <c r="I72" s="75">
        <f t="shared" si="8"/>
        <v>349148.1</v>
      </c>
      <c r="J72" s="73"/>
      <c r="K72" s="73"/>
      <c r="L72" s="73"/>
      <c r="M72" s="73"/>
      <c r="N72" s="73"/>
      <c r="O72" s="73"/>
      <c r="P72" s="73"/>
      <c r="Q72" s="73"/>
      <c r="R72" s="73"/>
    </row>
    <row r="73" spans="1:18" x14ac:dyDescent="0.25">
      <c r="A73" s="108"/>
      <c r="B73" s="109" t="s">
        <v>29</v>
      </c>
      <c r="C73" s="110">
        <f>C23+C30+C31+C32+C51+C52+C58+C60+C62+C71</f>
        <v>89955180</v>
      </c>
      <c r="D73" s="110">
        <f>D23+D30+D31+D32+D51+D52+D58+D60+D62+D71</f>
        <v>15592716</v>
      </c>
      <c r="E73" s="110">
        <f>E23+E30+E31+E32+E51+E52+E58+E60+E62+E71</f>
        <v>74362464</v>
      </c>
      <c r="F73" s="110">
        <f>F23+F30+F31+F32+F51+F52+F58+F60+F62+F71</f>
        <v>11420487</v>
      </c>
      <c r="G73" s="110">
        <f>G23+G30+G31+G32+G51+G52+G58+G60+G62+G71</f>
        <v>4172229</v>
      </c>
      <c r="H73" s="111">
        <f>+D73/C73</f>
        <v>0.17333872268389658</v>
      </c>
      <c r="I73" s="111">
        <f t="shared" si="8"/>
        <v>0.12695752484737399</v>
      </c>
      <c r="K73" s="73"/>
      <c r="L73" s="73"/>
      <c r="M73" s="73"/>
      <c r="N73" s="73"/>
      <c r="O73" s="73"/>
      <c r="P73" s="73"/>
      <c r="Q73" s="73"/>
      <c r="R73" s="73"/>
    </row>
    <row r="74" spans="1:18" hidden="1" x14ac:dyDescent="0.25">
      <c r="B74" s="64" t="s">
        <v>81</v>
      </c>
      <c r="C74" s="73">
        <f>C73-[1]Resumen!B8</f>
        <v>43392232.638999999</v>
      </c>
      <c r="D74" s="73">
        <f>D73-[1]Resumen!C8</f>
        <v>-26518093.699999996</v>
      </c>
      <c r="E74" s="73">
        <f>F73-[1]Resumen!D8</f>
        <v>6968349.3389999988</v>
      </c>
      <c r="F74" s="73" t="e">
        <f>#REF!-[1]Resumen!E8</f>
        <v>#REF!</v>
      </c>
      <c r="G74" s="73">
        <f>G73-[1]Resumen!F8</f>
        <v>3098528.3130000001</v>
      </c>
    </row>
    <row r="75" spans="1:18" hidden="1" x14ac:dyDescent="0.25">
      <c r="C75" s="64" t="e">
        <f>C73-'[1]PARA P01'!#REF!/1000</f>
        <v>#REF!</v>
      </c>
      <c r="D75" s="64" t="e">
        <f>D73-'[1]PARA P01'!#REF!/1000</f>
        <v>#REF!</v>
      </c>
      <c r="E75" s="64" t="e">
        <f>F73-'[1]PARA P01'!#REF!/1000</f>
        <v>#REF!</v>
      </c>
      <c r="F75" s="64" t="e">
        <f>#REF!-'[1]PARA P01'!#REF!/1000</f>
        <v>#REF!</v>
      </c>
      <c r="G75" s="64" t="e">
        <f>G73-'[1]PARA P01'!#REF!/1000</f>
        <v>#REF!</v>
      </c>
    </row>
    <row r="76" spans="1:18" ht="22.5" customHeight="1" x14ac:dyDescent="0.25">
      <c r="A76" s="113"/>
      <c r="B76" s="114"/>
      <c r="C76" s="73"/>
      <c r="D76" s="73"/>
      <c r="E76" s="73"/>
      <c r="F76" s="73"/>
      <c r="G76" s="73"/>
      <c r="H76" s="64" t="s">
        <v>81</v>
      </c>
    </row>
    <row r="77" spans="1:18" hidden="1" x14ac:dyDescent="0.25">
      <c r="A77" s="113"/>
      <c r="B77" s="114"/>
      <c r="C77" s="73">
        <f>[2]P01!C37/1000</f>
        <v>52486641.460000001</v>
      </c>
      <c r="D77" s="73">
        <f>[2]P01!D37/1000</f>
        <v>8129229.1710000001</v>
      </c>
      <c r="E77" s="73"/>
      <c r="F77" s="73">
        <f>[2]P01!E37/1000</f>
        <v>5797284.6890000002</v>
      </c>
      <c r="G77" s="73"/>
    </row>
    <row r="78" spans="1:18" hidden="1" x14ac:dyDescent="0.25">
      <c r="A78" s="115"/>
      <c r="B78" s="114"/>
      <c r="C78" s="73">
        <f>C73-C77</f>
        <v>37468538.539999999</v>
      </c>
      <c r="D78" s="73">
        <f>D73-D77</f>
        <v>7463486.8289999999</v>
      </c>
      <c r="E78" s="73"/>
      <c r="F78" s="73">
        <f t="shared" ref="F78" si="12">F73-F77</f>
        <v>5623202.3109999998</v>
      </c>
    </row>
    <row r="79" spans="1:18" hidden="1" x14ac:dyDescent="0.25">
      <c r="C79" s="73"/>
    </row>
    <row r="80" spans="1:18" x14ac:dyDescent="0.25">
      <c r="C80" s="28"/>
      <c r="D80" s="134"/>
      <c r="F80" s="134"/>
    </row>
    <row r="81" spans="1:11" x14ac:dyDescent="0.25">
      <c r="C81"/>
      <c r="E81" s="73"/>
    </row>
    <row r="82" spans="1:11" x14ac:dyDescent="0.25">
      <c r="C82" s="73"/>
    </row>
    <row r="84" spans="1:11" hidden="1" x14ac:dyDescent="0.25"/>
    <row r="85" spans="1:11" hidden="1" x14ac:dyDescent="0.25">
      <c r="A85" s="65" t="s">
        <v>0</v>
      </c>
      <c r="B85" s="66" t="s">
        <v>1</v>
      </c>
      <c r="C85" s="66"/>
      <c r="D85" s="66"/>
      <c r="E85" s="66"/>
      <c r="F85" s="66"/>
      <c r="G85" s="67"/>
      <c r="H85" s="68"/>
      <c r="I85" s="68"/>
    </row>
    <row r="86" spans="1:11" hidden="1" x14ac:dyDescent="0.25">
      <c r="A86" s="69">
        <v>21</v>
      </c>
      <c r="B86" s="70" t="s">
        <v>9</v>
      </c>
      <c r="C86" s="71"/>
      <c r="D86" s="71"/>
      <c r="E86" s="71"/>
      <c r="F86" s="71"/>
      <c r="G86" s="71"/>
      <c r="H86" s="72"/>
      <c r="I86" s="72"/>
      <c r="K86" s="73">
        <f t="shared" ref="K86:K99" si="13">C23-C86</f>
        <v>33562987</v>
      </c>
    </row>
    <row r="87" spans="1:11" hidden="1" x14ac:dyDescent="0.25">
      <c r="A87" s="69"/>
      <c r="B87" s="10" t="s">
        <v>10</v>
      </c>
      <c r="C87" s="74"/>
      <c r="D87" s="74"/>
      <c r="E87" s="74"/>
      <c r="F87" s="74"/>
      <c r="G87" s="74"/>
      <c r="H87" s="75"/>
      <c r="I87" s="75"/>
      <c r="K87" s="73">
        <f t="shared" si="13"/>
        <v>33083716</v>
      </c>
    </row>
    <row r="88" spans="1:11" hidden="1" x14ac:dyDescent="0.25">
      <c r="A88" s="69"/>
      <c r="B88" s="10" t="s">
        <v>11</v>
      </c>
      <c r="C88" s="74"/>
      <c r="D88" s="74"/>
      <c r="E88" s="74"/>
      <c r="F88" s="74"/>
      <c r="G88" s="74"/>
      <c r="H88" s="75"/>
      <c r="I88" s="75"/>
      <c r="K88" s="73">
        <f t="shared" si="13"/>
        <v>141530</v>
      </c>
    </row>
    <row r="89" spans="1:11" hidden="1" x14ac:dyDescent="0.25">
      <c r="A89" s="69"/>
      <c r="B89" s="10" t="s">
        <v>12</v>
      </c>
      <c r="C89" s="74"/>
      <c r="D89" s="74"/>
      <c r="E89" s="74"/>
      <c r="F89" s="74"/>
      <c r="G89" s="74"/>
      <c r="H89" s="75"/>
      <c r="I89" s="75"/>
      <c r="K89" s="73">
        <f t="shared" si="13"/>
        <v>130513</v>
      </c>
    </row>
    <row r="90" spans="1:11" hidden="1" x14ac:dyDescent="0.25">
      <c r="A90" s="69"/>
      <c r="B90" s="10" t="s">
        <v>13</v>
      </c>
      <c r="C90" s="76"/>
      <c r="D90" s="74"/>
      <c r="E90" s="74"/>
      <c r="F90" s="74"/>
      <c r="G90" s="74"/>
      <c r="H90" s="75"/>
      <c r="I90" s="75"/>
      <c r="K90" s="73">
        <f t="shared" si="13"/>
        <v>64800</v>
      </c>
    </row>
    <row r="91" spans="1:11" hidden="1" x14ac:dyDescent="0.25">
      <c r="A91" s="69"/>
      <c r="B91" s="10" t="s">
        <v>14</v>
      </c>
      <c r="C91" s="74"/>
      <c r="D91" s="74"/>
      <c r="E91" s="74"/>
      <c r="F91" s="74"/>
      <c r="G91" s="74"/>
      <c r="H91" s="75"/>
      <c r="I91" s="75"/>
      <c r="K91" s="73">
        <f t="shared" si="13"/>
        <v>14326</v>
      </c>
    </row>
    <row r="92" spans="1:11" hidden="1" x14ac:dyDescent="0.25">
      <c r="A92" s="69"/>
      <c r="B92" s="10" t="s">
        <v>15</v>
      </c>
      <c r="C92" s="74"/>
      <c r="D92" s="74"/>
      <c r="E92" s="74"/>
      <c r="F92" s="74"/>
      <c r="G92" s="74"/>
      <c r="H92" s="75"/>
      <c r="I92" s="75"/>
      <c r="K92" s="73">
        <f t="shared" si="13"/>
        <v>128102</v>
      </c>
    </row>
    <row r="93" spans="1:11" hidden="1" x14ac:dyDescent="0.25">
      <c r="A93" s="69">
        <v>22</v>
      </c>
      <c r="B93" s="77" t="s">
        <v>16</v>
      </c>
      <c r="C93" s="71"/>
      <c r="D93" s="71"/>
      <c r="E93" s="71"/>
      <c r="F93" s="71"/>
      <c r="G93" s="71"/>
      <c r="H93" s="72"/>
      <c r="I93" s="72"/>
      <c r="K93" s="73">
        <f t="shared" si="13"/>
        <v>8354232</v>
      </c>
    </row>
    <row r="94" spans="1:11" hidden="1" x14ac:dyDescent="0.25">
      <c r="A94" s="69">
        <v>23</v>
      </c>
      <c r="B94" s="77" t="s">
        <v>31</v>
      </c>
      <c r="C94" s="71"/>
      <c r="D94" s="71"/>
      <c r="E94" s="71"/>
      <c r="F94" s="71"/>
      <c r="G94" s="71"/>
      <c r="H94" s="72"/>
      <c r="I94" s="72"/>
      <c r="K94" s="73">
        <f t="shared" si="13"/>
        <v>339052</v>
      </c>
    </row>
    <row r="95" spans="1:11" hidden="1" x14ac:dyDescent="0.25">
      <c r="A95" s="69">
        <v>24</v>
      </c>
      <c r="B95" s="77" t="s">
        <v>32</v>
      </c>
      <c r="C95" s="71"/>
      <c r="D95" s="71"/>
      <c r="E95" s="71"/>
      <c r="F95" s="71"/>
      <c r="G95" s="71"/>
      <c r="H95" s="72"/>
      <c r="I95" s="72"/>
      <c r="K95" s="73">
        <f t="shared" si="13"/>
        <v>13714737</v>
      </c>
    </row>
    <row r="96" spans="1:11" hidden="1" x14ac:dyDescent="0.25">
      <c r="A96" s="78" t="s">
        <v>33</v>
      </c>
      <c r="B96" s="79" t="s">
        <v>34</v>
      </c>
      <c r="C96" s="80"/>
      <c r="D96" s="80"/>
      <c r="E96" s="80"/>
      <c r="F96" s="80"/>
      <c r="G96" s="80"/>
      <c r="H96" s="81"/>
      <c r="I96" s="81"/>
      <c r="K96" s="73">
        <f t="shared" si="13"/>
        <v>7447020</v>
      </c>
    </row>
    <row r="97" spans="1:11" hidden="1" x14ac:dyDescent="0.25">
      <c r="A97" s="83">
        <v>2401210</v>
      </c>
      <c r="B97" s="84" t="s">
        <v>93</v>
      </c>
      <c r="C97" s="85"/>
      <c r="D97" s="85"/>
      <c r="E97" s="85"/>
      <c r="F97" s="85"/>
      <c r="G97" s="85"/>
      <c r="H97" s="75"/>
      <c r="I97" s="75"/>
      <c r="K97" s="73">
        <f t="shared" si="13"/>
        <v>3549431</v>
      </c>
    </row>
    <row r="98" spans="1:11" hidden="1" x14ac:dyDescent="0.25">
      <c r="A98" s="83">
        <v>2401212</v>
      </c>
      <c r="B98" s="84" t="s">
        <v>94</v>
      </c>
      <c r="C98" s="85"/>
      <c r="D98" s="85"/>
      <c r="E98" s="85"/>
      <c r="F98" s="85"/>
      <c r="G98" s="85"/>
      <c r="H98" s="75"/>
      <c r="I98" s="75"/>
      <c r="K98" s="73">
        <f t="shared" si="13"/>
        <v>78925</v>
      </c>
    </row>
    <row r="99" spans="1:11" hidden="1" x14ac:dyDescent="0.25">
      <c r="A99" s="83">
        <v>2401222</v>
      </c>
      <c r="B99" s="84" t="s">
        <v>95</v>
      </c>
      <c r="C99" s="85"/>
      <c r="D99" s="85"/>
      <c r="E99" s="85"/>
      <c r="F99" s="85"/>
      <c r="G99" s="85"/>
      <c r="H99" s="75"/>
      <c r="I99" s="75"/>
      <c r="K99" s="73">
        <f t="shared" si="13"/>
        <v>2079813</v>
      </c>
    </row>
    <row r="100" spans="1:11" hidden="1" x14ac:dyDescent="0.25">
      <c r="A100" s="83">
        <v>2401223</v>
      </c>
      <c r="B100" s="84" t="s">
        <v>96</v>
      </c>
      <c r="C100" s="85"/>
      <c r="D100" s="85"/>
      <c r="E100" s="85"/>
      <c r="F100" s="85"/>
      <c r="G100" s="85"/>
      <c r="H100" s="75"/>
      <c r="I100" s="75"/>
      <c r="K100" s="73">
        <f>C38-C100</f>
        <v>1553681</v>
      </c>
    </row>
    <row r="101" spans="1:11" hidden="1" x14ac:dyDescent="0.25">
      <c r="A101" s="78" t="s">
        <v>55</v>
      </c>
      <c r="B101" s="79" t="s">
        <v>56</v>
      </c>
      <c r="C101" s="86"/>
      <c r="D101" s="86"/>
      <c r="E101" s="86"/>
      <c r="F101" s="86"/>
      <c r="G101" s="86"/>
      <c r="H101" s="72"/>
      <c r="I101" s="72"/>
      <c r="K101" s="73">
        <f t="shared" ref="K101:K107" si="14">C41-C101</f>
        <v>6130065</v>
      </c>
    </row>
    <row r="102" spans="1:11" hidden="1" x14ac:dyDescent="0.25">
      <c r="A102" s="83">
        <v>2403192</v>
      </c>
      <c r="B102" s="84" t="s">
        <v>97</v>
      </c>
      <c r="C102" s="85"/>
      <c r="D102" s="85"/>
      <c r="E102" s="85"/>
      <c r="F102" s="85"/>
      <c r="G102" s="85"/>
      <c r="H102" s="75"/>
      <c r="I102" s="75"/>
      <c r="K102" s="73">
        <f t="shared" si="14"/>
        <v>2154045</v>
      </c>
    </row>
    <row r="103" spans="1:11" hidden="1" x14ac:dyDescent="0.25">
      <c r="A103" s="83">
        <v>2403193</v>
      </c>
      <c r="B103" s="84" t="s">
        <v>98</v>
      </c>
      <c r="C103" s="85"/>
      <c r="D103" s="85"/>
      <c r="E103" s="85"/>
      <c r="F103" s="85"/>
      <c r="G103" s="85"/>
      <c r="H103" s="75"/>
      <c r="I103" s="75"/>
      <c r="K103" s="73">
        <f t="shared" si="14"/>
        <v>167205</v>
      </c>
    </row>
    <row r="104" spans="1:11" hidden="1" x14ac:dyDescent="0.25">
      <c r="A104" s="83">
        <v>2403194</v>
      </c>
      <c r="B104" s="84" t="s">
        <v>99</v>
      </c>
      <c r="C104" s="85"/>
      <c r="D104" s="85"/>
      <c r="E104" s="85"/>
      <c r="F104" s="85"/>
      <c r="G104" s="85"/>
      <c r="H104" s="75"/>
      <c r="I104" s="75"/>
      <c r="K104" s="73">
        <f t="shared" si="14"/>
        <v>277835</v>
      </c>
    </row>
    <row r="105" spans="1:11" hidden="1" x14ac:dyDescent="0.25">
      <c r="A105" s="83">
        <v>2403195</v>
      </c>
      <c r="B105" s="89" t="s">
        <v>100</v>
      </c>
      <c r="C105" s="85"/>
      <c r="D105" s="85"/>
      <c r="E105" s="85"/>
      <c r="F105" s="85"/>
      <c r="G105" s="85"/>
      <c r="H105" s="75"/>
      <c r="I105" s="75"/>
      <c r="K105" s="73">
        <f t="shared" si="14"/>
        <v>527109</v>
      </c>
    </row>
    <row r="106" spans="1:11" hidden="1" x14ac:dyDescent="0.25">
      <c r="A106" s="83">
        <v>2403196</v>
      </c>
      <c r="B106" s="84" t="s">
        <v>101</v>
      </c>
      <c r="C106" s="85"/>
      <c r="D106" s="85"/>
      <c r="E106" s="85"/>
      <c r="F106" s="85"/>
      <c r="G106" s="85"/>
      <c r="H106" s="72"/>
      <c r="I106" s="72"/>
      <c r="K106" s="73">
        <f t="shared" si="14"/>
        <v>1034349</v>
      </c>
    </row>
    <row r="107" spans="1:11" hidden="1" x14ac:dyDescent="0.25">
      <c r="A107" s="83" t="s">
        <v>109</v>
      </c>
      <c r="B107" s="84" t="s">
        <v>110</v>
      </c>
      <c r="C107" s="85"/>
      <c r="D107" s="85"/>
      <c r="E107" s="85"/>
      <c r="F107" s="85"/>
      <c r="G107" s="85"/>
      <c r="H107" s="72"/>
      <c r="I107" s="72"/>
      <c r="K107" s="73">
        <f t="shared" si="14"/>
        <v>375022</v>
      </c>
    </row>
    <row r="108" spans="1:11" hidden="1" x14ac:dyDescent="0.25">
      <c r="A108" s="69">
        <v>25</v>
      </c>
      <c r="B108" s="77" t="s">
        <v>70</v>
      </c>
      <c r="C108" s="86"/>
      <c r="D108" s="86"/>
      <c r="E108" s="86"/>
      <c r="F108" s="86"/>
      <c r="G108" s="86"/>
      <c r="H108" s="72"/>
      <c r="I108" s="72"/>
      <c r="K108" s="73">
        <f t="shared" ref="K108:K114" si="15">C51-C108</f>
        <v>17856</v>
      </c>
    </row>
    <row r="109" spans="1:11" hidden="1" x14ac:dyDescent="0.25">
      <c r="A109" s="92">
        <v>29</v>
      </c>
      <c r="B109" s="93" t="s">
        <v>17</v>
      </c>
      <c r="C109" s="80"/>
      <c r="D109" s="80"/>
      <c r="E109" s="80"/>
      <c r="F109" s="80"/>
      <c r="G109" s="80"/>
      <c r="H109" s="72"/>
      <c r="I109" s="72"/>
      <c r="K109" s="73">
        <f t="shared" si="15"/>
        <v>2215792</v>
      </c>
    </row>
    <row r="110" spans="1:11" hidden="1" x14ac:dyDescent="0.25">
      <c r="A110" s="94" t="s">
        <v>18</v>
      </c>
      <c r="B110" s="95" t="s">
        <v>19</v>
      </c>
      <c r="C110" s="85"/>
      <c r="D110" s="85"/>
      <c r="E110" s="85"/>
      <c r="F110" s="85"/>
      <c r="G110" s="85"/>
      <c r="H110" s="75"/>
      <c r="I110" s="75"/>
      <c r="K110" s="73">
        <f t="shared" si="15"/>
        <v>79725</v>
      </c>
    </row>
    <row r="111" spans="1:11" hidden="1" x14ac:dyDescent="0.25">
      <c r="A111" s="94" t="s">
        <v>20</v>
      </c>
      <c r="B111" s="95" t="s">
        <v>21</v>
      </c>
      <c r="C111" s="85"/>
      <c r="D111" s="85"/>
      <c r="E111" s="85"/>
      <c r="F111" s="85"/>
      <c r="G111" s="85"/>
      <c r="H111" s="75"/>
      <c r="I111" s="75"/>
      <c r="K111" s="73">
        <f t="shared" si="15"/>
        <v>1691327</v>
      </c>
    </row>
    <row r="112" spans="1:11" hidden="1" x14ac:dyDescent="0.25">
      <c r="A112" s="83" t="s">
        <v>22</v>
      </c>
      <c r="B112" s="84" t="s">
        <v>23</v>
      </c>
      <c r="C112" s="85"/>
      <c r="D112" s="85"/>
      <c r="E112" s="85"/>
      <c r="F112" s="85"/>
      <c r="G112" s="85"/>
      <c r="H112" s="75"/>
      <c r="I112" s="75"/>
      <c r="K112" s="73">
        <f t="shared" si="15"/>
        <v>85307</v>
      </c>
    </row>
    <row r="113" spans="1:11" hidden="1" x14ac:dyDescent="0.25">
      <c r="A113" s="83" t="s">
        <v>24</v>
      </c>
      <c r="B113" s="84" t="s">
        <v>25</v>
      </c>
      <c r="C113" s="85"/>
      <c r="D113" s="85"/>
      <c r="E113" s="85"/>
      <c r="F113" s="85"/>
      <c r="G113" s="85"/>
      <c r="H113" s="75"/>
      <c r="I113" s="75"/>
      <c r="K113" s="73">
        <f t="shared" si="15"/>
        <v>156709</v>
      </c>
    </row>
    <row r="114" spans="1:11" hidden="1" x14ac:dyDescent="0.25">
      <c r="A114" s="83" t="s">
        <v>26</v>
      </c>
      <c r="B114" s="84" t="s">
        <v>27</v>
      </c>
      <c r="C114" s="85"/>
      <c r="D114" s="85"/>
      <c r="E114" s="85"/>
      <c r="F114" s="85"/>
      <c r="G114" s="85"/>
      <c r="H114" s="75"/>
      <c r="I114" s="75"/>
      <c r="K114" s="73">
        <f t="shared" si="15"/>
        <v>202724</v>
      </c>
    </row>
    <row r="115" spans="1:11" hidden="1" x14ac:dyDescent="0.25">
      <c r="A115" s="69">
        <v>31</v>
      </c>
      <c r="B115" s="77" t="s">
        <v>71</v>
      </c>
      <c r="C115" s="86"/>
      <c r="D115" s="86"/>
      <c r="E115" s="86"/>
      <c r="F115" s="86"/>
      <c r="G115" s="86"/>
      <c r="H115" s="72"/>
      <c r="I115" s="72"/>
      <c r="K115" s="73">
        <f>C60-C115</f>
        <v>23455551</v>
      </c>
    </row>
    <row r="116" spans="1:11" hidden="1" x14ac:dyDescent="0.25">
      <c r="A116" s="83" t="s">
        <v>72</v>
      </c>
      <c r="B116" s="84" t="s">
        <v>73</v>
      </c>
      <c r="C116" s="85"/>
      <c r="D116" s="85"/>
      <c r="E116" s="85"/>
      <c r="F116" s="85"/>
      <c r="G116" s="85"/>
      <c r="H116" s="75"/>
      <c r="I116" s="75"/>
      <c r="K116" s="73">
        <f>C61-C116</f>
        <v>23455551</v>
      </c>
    </row>
    <row r="117" spans="1:11" hidden="1" x14ac:dyDescent="0.25">
      <c r="A117" s="96">
        <v>33</v>
      </c>
      <c r="B117" s="97" t="s">
        <v>74</v>
      </c>
      <c r="C117" s="98"/>
      <c r="D117" s="98"/>
      <c r="E117" s="98"/>
      <c r="F117" s="98"/>
      <c r="G117" s="98"/>
      <c r="H117" s="99"/>
      <c r="I117" s="99"/>
      <c r="K117" s="73">
        <f>C62-C117</f>
        <v>8294963</v>
      </c>
    </row>
    <row r="118" spans="1:11" hidden="1" x14ac:dyDescent="0.25">
      <c r="A118" s="100" t="s">
        <v>102</v>
      </c>
      <c r="B118" s="79" t="s">
        <v>34</v>
      </c>
      <c r="C118" s="80"/>
      <c r="D118" s="80"/>
      <c r="E118" s="80"/>
      <c r="F118" s="80"/>
      <c r="G118" s="80"/>
      <c r="H118" s="81"/>
      <c r="I118" s="81"/>
      <c r="K118" s="73">
        <f>C63-C118</f>
        <v>584650</v>
      </c>
    </row>
    <row r="119" spans="1:11" hidden="1" x14ac:dyDescent="0.25">
      <c r="A119" s="103">
        <v>3301001</v>
      </c>
      <c r="B119" s="84" t="s">
        <v>103</v>
      </c>
      <c r="C119" s="85"/>
      <c r="D119" s="85"/>
      <c r="E119" s="85"/>
      <c r="F119" s="85"/>
      <c r="G119" s="85"/>
      <c r="H119" s="75"/>
      <c r="I119" s="75"/>
      <c r="K119" s="73">
        <f>C64-C119</f>
        <v>584650</v>
      </c>
    </row>
    <row r="120" spans="1:11" hidden="1" x14ac:dyDescent="0.25">
      <c r="A120" s="92" t="s">
        <v>75</v>
      </c>
      <c r="B120" s="93" t="s">
        <v>56</v>
      </c>
      <c r="C120" s="86"/>
      <c r="D120" s="86"/>
      <c r="E120" s="86"/>
      <c r="F120" s="86"/>
      <c r="G120" s="86"/>
      <c r="H120" s="72"/>
      <c r="I120" s="72"/>
      <c r="K120" s="73">
        <f t="shared" ref="K120:K125" si="16">C67-C120</f>
        <v>3286643</v>
      </c>
    </row>
    <row r="121" spans="1:11" hidden="1" x14ac:dyDescent="0.25">
      <c r="A121" s="103">
        <v>3303005</v>
      </c>
      <c r="B121" s="84" t="s">
        <v>104</v>
      </c>
      <c r="C121" s="85"/>
      <c r="D121" s="85"/>
      <c r="E121" s="85"/>
      <c r="F121" s="85"/>
      <c r="G121" s="85"/>
      <c r="H121" s="75"/>
      <c r="I121" s="75"/>
      <c r="K121" s="73">
        <f t="shared" si="16"/>
        <v>700403</v>
      </c>
    </row>
    <row r="122" spans="1:11" hidden="1" x14ac:dyDescent="0.25">
      <c r="A122" s="103">
        <v>3303006</v>
      </c>
      <c r="B122" s="84" t="s">
        <v>103</v>
      </c>
      <c r="C122" s="85"/>
      <c r="D122" s="85"/>
      <c r="E122" s="85"/>
      <c r="F122" s="85"/>
      <c r="G122" s="85"/>
      <c r="H122" s="75"/>
      <c r="I122" s="75"/>
      <c r="K122" s="73">
        <f t="shared" si="16"/>
        <v>645131</v>
      </c>
    </row>
    <row r="123" spans="1:11" hidden="1" x14ac:dyDescent="0.25">
      <c r="A123" s="103">
        <v>3303007</v>
      </c>
      <c r="B123" s="84" t="s">
        <v>105</v>
      </c>
      <c r="C123" s="85"/>
      <c r="D123" s="85"/>
      <c r="E123" s="85"/>
      <c r="F123" s="85"/>
      <c r="G123" s="85"/>
      <c r="H123" s="75"/>
      <c r="I123" s="75"/>
      <c r="K123" s="73">
        <f t="shared" si="16"/>
        <v>1941109</v>
      </c>
    </row>
    <row r="124" spans="1:11" hidden="1" x14ac:dyDescent="0.25">
      <c r="A124" s="92">
        <v>34</v>
      </c>
      <c r="B124" s="93" t="s">
        <v>78</v>
      </c>
      <c r="C124" s="86"/>
      <c r="D124" s="86"/>
      <c r="E124" s="86"/>
      <c r="F124" s="86"/>
      <c r="G124" s="86"/>
      <c r="H124" s="75"/>
      <c r="I124" s="75"/>
      <c r="K124" s="73">
        <f t="shared" si="16"/>
        <v>10</v>
      </c>
    </row>
    <row r="125" spans="1:11" hidden="1" x14ac:dyDescent="0.25">
      <c r="A125" s="103" t="s">
        <v>79</v>
      </c>
      <c r="B125" s="104" t="s">
        <v>80</v>
      </c>
      <c r="C125" s="85"/>
      <c r="D125" s="85"/>
      <c r="E125" s="85"/>
      <c r="F125" s="85"/>
      <c r="G125" s="85"/>
      <c r="H125" s="75"/>
      <c r="I125" s="75"/>
      <c r="K125" s="73">
        <f t="shared" si="16"/>
        <v>10</v>
      </c>
    </row>
    <row r="126" spans="1:11" hidden="1" x14ac:dyDescent="0.25">
      <c r="A126" s="105">
        <v>35</v>
      </c>
      <c r="B126" s="106" t="s">
        <v>28</v>
      </c>
      <c r="C126" s="107"/>
      <c r="D126" s="107"/>
      <c r="E126" s="107"/>
      <c r="F126" s="107"/>
      <c r="G126" s="107"/>
      <c r="H126" s="75"/>
      <c r="I126" s="75"/>
      <c r="K126" s="73" t="e">
        <f>#REF!-C126</f>
        <v>#REF!</v>
      </c>
    </row>
    <row r="127" spans="1:11" hidden="1" x14ac:dyDescent="0.25">
      <c r="A127" s="108"/>
      <c r="B127" s="109" t="s">
        <v>29</v>
      </c>
      <c r="C127" s="110"/>
      <c r="D127" s="110"/>
      <c r="E127" s="110"/>
      <c r="F127" s="110"/>
      <c r="G127" s="110"/>
      <c r="H127" s="111"/>
      <c r="I127" s="111"/>
    </row>
    <row r="128" spans="1:11" hidden="1" x14ac:dyDescent="0.25"/>
    <row r="129" spans="3:3" hidden="1" x14ac:dyDescent="0.25"/>
    <row r="130" spans="3:3" x14ac:dyDescent="0.25">
      <c r="C130" s="28"/>
    </row>
    <row r="131" spans="3:3" x14ac:dyDescent="0.25">
      <c r="C131" s="28"/>
    </row>
    <row r="132" spans="3:3" x14ac:dyDescent="0.25">
      <c r="C132" s="73"/>
    </row>
    <row r="135" spans="3:3" x14ac:dyDescent="0.25">
      <c r="C135" s="140"/>
    </row>
  </sheetData>
  <mergeCells count="2">
    <mergeCell ref="A2:I2"/>
    <mergeCell ref="A3:I3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K39"/>
  <sheetViews>
    <sheetView zoomScale="90" zoomScaleNormal="90" workbookViewId="0">
      <selection activeCell="A2" sqref="A2:I2"/>
    </sheetView>
  </sheetViews>
  <sheetFormatPr baseColWidth="10" defaultRowHeight="15" x14ac:dyDescent="0.25"/>
  <cols>
    <col min="1" max="1" width="11.42578125" style="64"/>
    <col min="2" max="2" width="47.85546875" style="64" bestFit="1" customWidth="1"/>
    <col min="3" max="4" width="14.7109375" style="64" customWidth="1"/>
    <col min="5" max="5" width="15.28515625" style="64" bestFit="1" customWidth="1"/>
    <col min="6" max="6" width="14.7109375" style="64" customWidth="1"/>
    <col min="7" max="7" width="15.42578125" style="64" bestFit="1" customWidth="1"/>
    <col min="8" max="9" width="14.85546875" style="171" customWidth="1"/>
    <col min="10" max="16384" width="11.42578125" style="64"/>
  </cols>
  <sheetData>
    <row r="2" spans="1:9" x14ac:dyDescent="0.25">
      <c r="A2" s="235" t="s">
        <v>106</v>
      </c>
      <c r="B2" s="235"/>
      <c r="C2" s="235"/>
      <c r="D2" s="235"/>
      <c r="E2" s="235"/>
      <c r="F2" s="235"/>
      <c r="G2" s="235"/>
      <c r="H2" s="235"/>
      <c r="I2" s="235"/>
    </row>
    <row r="3" spans="1:9" x14ac:dyDescent="0.25">
      <c r="A3" s="236" t="s">
        <v>340</v>
      </c>
      <c r="B3" s="236"/>
      <c r="C3" s="236"/>
      <c r="D3" s="236"/>
      <c r="E3" s="236"/>
      <c r="F3" s="236"/>
      <c r="G3" s="236"/>
      <c r="H3" s="236"/>
      <c r="I3" s="236"/>
    </row>
    <row r="4" spans="1:9" x14ac:dyDescent="0.25">
      <c r="A4" s="220" t="s">
        <v>315</v>
      </c>
      <c r="B4"/>
      <c r="C4"/>
      <c r="D4"/>
      <c r="E4"/>
      <c r="F4"/>
      <c r="G4"/>
      <c r="H4"/>
      <c r="I4"/>
    </row>
    <row r="5" spans="1:9" ht="25.5" x14ac:dyDescent="0.25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5" t="s">
        <v>7</v>
      </c>
      <c r="I5" s="5" t="s">
        <v>8</v>
      </c>
    </row>
    <row r="6" spans="1:9" hidden="1" x14ac:dyDescent="0.25">
      <c r="A6" s="6" t="s">
        <v>283</v>
      </c>
      <c r="B6" s="7" t="s">
        <v>32</v>
      </c>
      <c r="C6" s="8">
        <f>+C7</f>
        <v>0</v>
      </c>
      <c r="D6" s="8">
        <f>+D7</f>
        <v>0</v>
      </c>
      <c r="E6" s="8">
        <f>+C6-D6</f>
        <v>0</v>
      </c>
      <c r="F6" s="8">
        <f>+F7</f>
        <v>0</v>
      </c>
      <c r="G6" s="8">
        <f>+D6-F6</f>
        <v>0</v>
      </c>
      <c r="H6" s="9" t="e">
        <f>+D6/C6</f>
        <v>#DIV/0!</v>
      </c>
      <c r="I6" s="9" t="e">
        <f>+F6/C6</f>
        <v>#DIV/0!</v>
      </c>
    </row>
    <row r="7" spans="1:9" hidden="1" x14ac:dyDescent="0.25">
      <c r="A7" s="222" t="s">
        <v>284</v>
      </c>
      <c r="B7" s="223" t="s">
        <v>285</v>
      </c>
      <c r="C7" s="224">
        <f>+C8</f>
        <v>0</v>
      </c>
      <c r="D7" s="224">
        <f>+D8</f>
        <v>0</v>
      </c>
      <c r="E7" s="151">
        <f t="shared" ref="E7:E16" si="0">+C7-D7</f>
        <v>0</v>
      </c>
      <c r="F7" s="224">
        <f>+F8</f>
        <v>0</v>
      </c>
      <c r="G7" s="224">
        <f t="shared" ref="G7:G16" si="1">+D7-F7</f>
        <v>0</v>
      </c>
      <c r="H7" s="32" t="e">
        <f t="shared" ref="H7:H16" si="2">+D7/C7</f>
        <v>#DIV/0!</v>
      </c>
      <c r="I7" s="32" t="e">
        <f t="shared" ref="I7:I16" si="3">+F7/C7</f>
        <v>#DIV/0!</v>
      </c>
    </row>
    <row r="8" spans="1:9" hidden="1" x14ac:dyDescent="0.25">
      <c r="A8" s="35" t="s">
        <v>317</v>
      </c>
      <c r="B8" s="203" t="s">
        <v>318</v>
      </c>
      <c r="C8" s="11">
        <v>0</v>
      </c>
      <c r="D8" s="11">
        <v>0</v>
      </c>
      <c r="E8" s="150">
        <f t="shared" si="0"/>
        <v>0</v>
      </c>
      <c r="F8" s="11">
        <v>0</v>
      </c>
      <c r="G8" s="11">
        <f t="shared" si="1"/>
        <v>0</v>
      </c>
      <c r="H8" s="12" t="e">
        <f t="shared" si="2"/>
        <v>#DIV/0!</v>
      </c>
      <c r="I8" s="12" t="e">
        <f t="shared" si="3"/>
        <v>#DIV/0!</v>
      </c>
    </row>
    <row r="9" spans="1:9" hidden="1" x14ac:dyDescent="0.25">
      <c r="A9" s="202" t="s">
        <v>290</v>
      </c>
      <c r="B9" s="208" t="s">
        <v>291</v>
      </c>
      <c r="C9" s="209">
        <f>SUM(C10:C11)</f>
        <v>0</v>
      </c>
      <c r="D9" s="209">
        <f>SUM(D10:D11)</f>
        <v>0</v>
      </c>
      <c r="E9" s="8">
        <f t="shared" si="0"/>
        <v>0</v>
      </c>
      <c r="F9" s="209">
        <f>SUM(F10:F11)</f>
        <v>0</v>
      </c>
      <c r="G9" s="209">
        <f t="shared" si="1"/>
        <v>0</v>
      </c>
      <c r="H9" s="9" t="e">
        <f t="shared" si="2"/>
        <v>#DIV/0!</v>
      </c>
      <c r="I9" s="9" t="e">
        <f t="shared" si="3"/>
        <v>#DIV/0!</v>
      </c>
    </row>
    <row r="10" spans="1:9" hidden="1" x14ac:dyDescent="0.25">
      <c r="A10" s="35" t="s">
        <v>292</v>
      </c>
      <c r="B10" s="203" t="s">
        <v>293</v>
      </c>
      <c r="C10" s="11">
        <v>0</v>
      </c>
      <c r="D10" s="11">
        <v>0</v>
      </c>
      <c r="E10" s="150">
        <f t="shared" si="0"/>
        <v>0</v>
      </c>
      <c r="F10" s="11">
        <v>0</v>
      </c>
      <c r="G10" s="11">
        <f t="shared" si="1"/>
        <v>0</v>
      </c>
      <c r="H10" s="12" t="e">
        <f t="shared" si="2"/>
        <v>#DIV/0!</v>
      </c>
      <c r="I10" s="12" t="e">
        <f t="shared" si="3"/>
        <v>#DIV/0!</v>
      </c>
    </row>
    <row r="11" spans="1:9" hidden="1" x14ac:dyDescent="0.25">
      <c r="A11" s="35" t="s">
        <v>296</v>
      </c>
      <c r="B11" s="203" t="s">
        <v>297</v>
      </c>
      <c r="C11" s="11">
        <v>0</v>
      </c>
      <c r="D11" s="11">
        <v>0</v>
      </c>
      <c r="E11" s="150">
        <f t="shared" si="0"/>
        <v>0</v>
      </c>
      <c r="F11" s="11">
        <v>0</v>
      </c>
      <c r="G11" s="11">
        <f t="shared" si="1"/>
        <v>0</v>
      </c>
      <c r="H11" s="12" t="e">
        <f t="shared" si="2"/>
        <v>#DIV/0!</v>
      </c>
      <c r="I11" s="12" t="e">
        <f t="shared" si="3"/>
        <v>#DIV/0!</v>
      </c>
    </row>
    <row r="12" spans="1:9" x14ac:dyDescent="0.25">
      <c r="A12" s="202" t="s">
        <v>298</v>
      </c>
      <c r="B12" s="208" t="s">
        <v>299</v>
      </c>
      <c r="C12" s="209">
        <f>+C13</f>
        <v>6943666</v>
      </c>
      <c r="D12" s="209">
        <f>+D13</f>
        <v>536468</v>
      </c>
      <c r="E12" s="8">
        <f t="shared" si="0"/>
        <v>6407198</v>
      </c>
      <c r="F12" s="209">
        <f>+F13</f>
        <v>536468</v>
      </c>
      <c r="G12" s="209">
        <f t="shared" si="1"/>
        <v>0</v>
      </c>
      <c r="H12" s="9">
        <f t="shared" si="2"/>
        <v>7.7260052542849844E-2</v>
      </c>
      <c r="I12" s="9">
        <f t="shared" si="3"/>
        <v>7.7260052542849844E-2</v>
      </c>
    </row>
    <row r="13" spans="1:9" x14ac:dyDescent="0.25">
      <c r="A13" s="222" t="s">
        <v>300</v>
      </c>
      <c r="B13" s="223" t="s">
        <v>301</v>
      </c>
      <c r="C13" s="224">
        <f>+C14+C15</f>
        <v>6943666</v>
      </c>
      <c r="D13" s="224">
        <f>+D14+D15</f>
        <v>536468</v>
      </c>
      <c r="E13" s="151">
        <f t="shared" si="0"/>
        <v>6407198</v>
      </c>
      <c r="F13" s="224">
        <f>+F14+F15</f>
        <v>536468</v>
      </c>
      <c r="G13" s="224">
        <f t="shared" si="1"/>
        <v>0</v>
      </c>
      <c r="H13" s="32">
        <f t="shared" si="2"/>
        <v>7.7260052542849844E-2</v>
      </c>
      <c r="I13" s="32">
        <f t="shared" si="3"/>
        <v>7.7260052542849844E-2</v>
      </c>
    </row>
    <row r="14" spans="1:9" x14ac:dyDescent="0.25">
      <c r="A14" s="35" t="s">
        <v>302</v>
      </c>
      <c r="B14" s="203" t="s">
        <v>303</v>
      </c>
      <c r="C14" s="11">
        <v>1568226</v>
      </c>
      <c r="D14" s="11">
        <v>212362</v>
      </c>
      <c r="E14" s="150">
        <f t="shared" si="0"/>
        <v>1355864</v>
      </c>
      <c r="F14" s="11">
        <v>212362</v>
      </c>
      <c r="G14" s="11">
        <f t="shared" si="1"/>
        <v>0</v>
      </c>
      <c r="H14" s="12">
        <f t="shared" si="2"/>
        <v>0.13541543119422839</v>
      </c>
      <c r="I14" s="12">
        <f t="shared" si="3"/>
        <v>0.13541543119422839</v>
      </c>
    </row>
    <row r="15" spans="1:9" x14ac:dyDescent="0.25">
      <c r="A15" s="35" t="s">
        <v>304</v>
      </c>
      <c r="B15" s="203" t="s">
        <v>305</v>
      </c>
      <c r="C15" s="11">
        <v>5375440</v>
      </c>
      <c r="D15" s="11">
        <v>324106</v>
      </c>
      <c r="E15" s="150">
        <f t="shared" si="0"/>
        <v>5051334</v>
      </c>
      <c r="F15" s="11">
        <v>324106</v>
      </c>
      <c r="G15" s="11">
        <f t="shared" si="1"/>
        <v>0</v>
      </c>
      <c r="H15" s="12">
        <f t="shared" si="2"/>
        <v>6.0293855014659267E-2</v>
      </c>
      <c r="I15" s="12">
        <f t="shared" si="3"/>
        <v>6.0293855014659267E-2</v>
      </c>
    </row>
    <row r="16" spans="1:9" x14ac:dyDescent="0.25">
      <c r="A16" s="213" t="s">
        <v>310</v>
      </c>
      <c r="B16" s="214" t="s">
        <v>311</v>
      </c>
      <c r="C16" s="209">
        <v>10</v>
      </c>
      <c r="D16" s="209">
        <v>0</v>
      </c>
      <c r="E16" s="16">
        <f t="shared" si="0"/>
        <v>10</v>
      </c>
      <c r="F16" s="209">
        <v>0</v>
      </c>
      <c r="G16" s="209">
        <f t="shared" si="1"/>
        <v>0</v>
      </c>
      <c r="H16" s="9">
        <f t="shared" si="2"/>
        <v>0</v>
      </c>
      <c r="I16" s="9">
        <f t="shared" si="3"/>
        <v>0</v>
      </c>
    </row>
    <row r="17" spans="1:11" x14ac:dyDescent="0.25">
      <c r="A17" s="212"/>
      <c r="B17" s="218" t="s">
        <v>29</v>
      </c>
      <c r="C17" s="219">
        <f>+C6+C9+C12+C16</f>
        <v>6943676</v>
      </c>
      <c r="D17" s="219">
        <f t="shared" ref="D17:G17" si="4">+D6+D9+D12+D16</f>
        <v>536468</v>
      </c>
      <c r="E17" s="219">
        <f t="shared" si="4"/>
        <v>6407208</v>
      </c>
      <c r="F17" s="219">
        <f t="shared" si="4"/>
        <v>536468</v>
      </c>
      <c r="G17" s="219">
        <f t="shared" si="4"/>
        <v>0</v>
      </c>
      <c r="H17" s="26">
        <f>+D17/C17</f>
        <v>7.7259941276061839E-2</v>
      </c>
      <c r="I17" s="26">
        <f>+F17/C17</f>
        <v>7.7259941276061839E-2</v>
      </c>
    </row>
    <row r="18" spans="1:11" x14ac:dyDescent="0.25">
      <c r="C18" s="73"/>
      <c r="D18" s="73"/>
    </row>
    <row r="19" spans="1:11" x14ac:dyDescent="0.25">
      <c r="A19" s="88" t="s">
        <v>316</v>
      </c>
      <c r="C19" s="73"/>
      <c r="D19" s="73"/>
    </row>
    <row r="20" spans="1:11" ht="25.5" x14ac:dyDescent="0.25">
      <c r="A20" s="65" t="s">
        <v>0</v>
      </c>
      <c r="B20" s="66" t="s">
        <v>1</v>
      </c>
      <c r="C20" s="116" t="s">
        <v>2</v>
      </c>
      <c r="D20" s="66" t="s">
        <v>3</v>
      </c>
      <c r="E20" s="66" t="s">
        <v>4</v>
      </c>
      <c r="F20" s="66" t="s">
        <v>5</v>
      </c>
      <c r="G20" s="67" t="s">
        <v>6</v>
      </c>
      <c r="H20" s="68" t="s">
        <v>7</v>
      </c>
      <c r="I20" s="68" t="s">
        <v>8</v>
      </c>
    </row>
    <row r="21" spans="1:11" x14ac:dyDescent="0.25">
      <c r="A21" s="69">
        <v>21</v>
      </c>
      <c r="B21" s="70" t="s">
        <v>9</v>
      </c>
      <c r="C21" s="71">
        <f>SUM(C22:C27)</f>
        <v>1568226</v>
      </c>
      <c r="D21" s="71">
        <f>SUM(D22:D27)</f>
        <v>225702</v>
      </c>
      <c r="E21" s="71">
        <f>C21-D21</f>
        <v>1342524</v>
      </c>
      <c r="F21" s="71">
        <f>SUM(F22:F27)</f>
        <v>225702</v>
      </c>
      <c r="G21" s="71">
        <f>D21-F21</f>
        <v>0</v>
      </c>
      <c r="H21" s="172">
        <f>D21/C21</f>
        <v>0.14392185820156023</v>
      </c>
      <c r="I21" s="172">
        <f>F21/C21</f>
        <v>0.14392185820156023</v>
      </c>
    </row>
    <row r="22" spans="1:11" x14ac:dyDescent="0.25">
      <c r="A22" s="69"/>
      <c r="B22" s="10" t="s">
        <v>10</v>
      </c>
      <c r="C22" s="74">
        <f>1568226-SUM(C23:C27)</f>
        <v>1458994</v>
      </c>
      <c r="D22" s="74">
        <f>225702-SUM(D23:D27)</f>
        <v>211720</v>
      </c>
      <c r="E22" s="74">
        <f t="shared" ref="E22:E36" si="5">C22-D22</f>
        <v>1247274</v>
      </c>
      <c r="F22" s="74">
        <f>225702-SUM(F23:F27)</f>
        <v>211720</v>
      </c>
      <c r="G22" s="74">
        <f t="shared" ref="G22:G36" si="6">D22-F22</f>
        <v>0</v>
      </c>
      <c r="H22" s="75">
        <f t="shared" ref="H22:H37" si="7">D22/C22</f>
        <v>0.14511368792469331</v>
      </c>
      <c r="I22" s="75">
        <f t="shared" ref="I22:I37" si="8">F22/C22</f>
        <v>0.14511368792469331</v>
      </c>
    </row>
    <row r="23" spans="1:11" x14ac:dyDescent="0.25">
      <c r="A23" s="69"/>
      <c r="B23" s="10" t="s">
        <v>11</v>
      </c>
      <c r="C23" s="74">
        <v>16112</v>
      </c>
      <c r="D23" s="74">
        <v>2685</v>
      </c>
      <c r="E23" s="74">
        <f t="shared" si="5"/>
        <v>13427</v>
      </c>
      <c r="F23" s="74">
        <v>2685</v>
      </c>
      <c r="G23" s="74">
        <f t="shared" si="6"/>
        <v>0</v>
      </c>
      <c r="H23" s="75">
        <f t="shared" si="7"/>
        <v>0.1666459781529295</v>
      </c>
      <c r="I23" s="75">
        <f t="shared" si="8"/>
        <v>0.1666459781529295</v>
      </c>
    </row>
    <row r="24" spans="1:11" x14ac:dyDescent="0.25">
      <c r="A24" s="69"/>
      <c r="B24" s="10" t="s">
        <v>12</v>
      </c>
      <c r="C24" s="74">
        <v>1961</v>
      </c>
      <c r="D24" s="74">
        <v>0</v>
      </c>
      <c r="E24" s="74">
        <f t="shared" si="5"/>
        <v>1961</v>
      </c>
      <c r="F24" s="74">
        <v>0</v>
      </c>
      <c r="G24" s="74">
        <f t="shared" si="6"/>
        <v>0</v>
      </c>
      <c r="H24" s="75">
        <f t="shared" si="7"/>
        <v>0</v>
      </c>
      <c r="I24" s="75">
        <f t="shared" si="8"/>
        <v>0</v>
      </c>
    </row>
    <row r="25" spans="1:11" x14ac:dyDescent="0.25">
      <c r="A25" s="69"/>
      <c r="B25" s="10" t="s">
        <v>13</v>
      </c>
      <c r="C25" s="74">
        <v>21472</v>
      </c>
      <c r="D25" s="74">
        <v>892</v>
      </c>
      <c r="E25" s="74">
        <f t="shared" si="5"/>
        <v>20580</v>
      </c>
      <c r="F25" s="74">
        <v>892</v>
      </c>
      <c r="G25" s="74">
        <f t="shared" si="6"/>
        <v>0</v>
      </c>
      <c r="H25" s="75">
        <f t="shared" si="7"/>
        <v>4.15424739195231E-2</v>
      </c>
      <c r="I25" s="75">
        <f t="shared" si="8"/>
        <v>4.15424739195231E-2</v>
      </c>
      <c r="J25" s="73"/>
      <c r="K25" s="73"/>
    </row>
    <row r="26" spans="1:11" hidden="1" x14ac:dyDescent="0.25">
      <c r="A26" s="69"/>
      <c r="B26" s="10" t="s">
        <v>14</v>
      </c>
      <c r="C26" s="74"/>
      <c r="D26" s="74"/>
      <c r="E26" s="74">
        <f t="shared" si="5"/>
        <v>0</v>
      </c>
      <c r="F26" s="74"/>
      <c r="G26" s="74">
        <f t="shared" si="6"/>
        <v>0</v>
      </c>
      <c r="H26" s="75" t="e">
        <f t="shared" si="7"/>
        <v>#DIV/0!</v>
      </c>
      <c r="I26" s="75" t="e">
        <f t="shared" si="8"/>
        <v>#DIV/0!</v>
      </c>
    </row>
    <row r="27" spans="1:11" x14ac:dyDescent="0.25">
      <c r="A27" s="69"/>
      <c r="B27" s="10" t="s">
        <v>15</v>
      </c>
      <c r="C27" s="74">
        <v>69687</v>
      </c>
      <c r="D27" s="74">
        <v>10405</v>
      </c>
      <c r="E27" s="74">
        <f t="shared" si="5"/>
        <v>59282</v>
      </c>
      <c r="F27" s="74">
        <v>10405</v>
      </c>
      <c r="G27" s="74">
        <f t="shared" si="6"/>
        <v>0</v>
      </c>
      <c r="H27" s="75">
        <f t="shared" si="7"/>
        <v>0.14931048832637364</v>
      </c>
      <c r="I27" s="75">
        <f t="shared" si="8"/>
        <v>0.14931048832637364</v>
      </c>
    </row>
    <row r="28" spans="1:11" x14ac:dyDescent="0.25">
      <c r="A28" s="69">
        <v>22</v>
      </c>
      <c r="B28" s="77" t="s">
        <v>16</v>
      </c>
      <c r="C28" s="71">
        <v>5295542</v>
      </c>
      <c r="D28" s="71">
        <v>4433393</v>
      </c>
      <c r="E28" s="71">
        <f t="shared" si="5"/>
        <v>862149</v>
      </c>
      <c r="F28" s="71">
        <v>747092</v>
      </c>
      <c r="G28" s="71">
        <f t="shared" si="6"/>
        <v>3686301</v>
      </c>
      <c r="H28" s="172">
        <f t="shared" si="7"/>
        <v>0.83719343553502168</v>
      </c>
      <c r="I28" s="172">
        <f t="shared" si="8"/>
        <v>0.14107942114329375</v>
      </c>
      <c r="J28" s="73"/>
      <c r="K28" s="73"/>
    </row>
    <row r="29" spans="1:11" x14ac:dyDescent="0.25">
      <c r="A29" s="69">
        <v>25</v>
      </c>
      <c r="B29" s="77" t="s">
        <v>70</v>
      </c>
      <c r="C29" s="71">
        <v>1291</v>
      </c>
      <c r="D29" s="71">
        <v>0</v>
      </c>
      <c r="E29" s="71">
        <f t="shared" si="5"/>
        <v>1291</v>
      </c>
      <c r="F29" s="71">
        <v>0</v>
      </c>
      <c r="G29" s="71">
        <f t="shared" si="6"/>
        <v>0</v>
      </c>
      <c r="H29" s="172">
        <f t="shared" si="7"/>
        <v>0</v>
      </c>
      <c r="I29" s="172">
        <f t="shared" si="8"/>
        <v>0</v>
      </c>
    </row>
    <row r="30" spans="1:11" x14ac:dyDescent="0.25">
      <c r="A30" s="117">
        <v>29</v>
      </c>
      <c r="B30" s="93" t="s">
        <v>17</v>
      </c>
      <c r="C30" s="86">
        <f>SUM(C31:C34)</f>
        <v>78607</v>
      </c>
      <c r="D30" s="86">
        <f>SUM(D31:D34)</f>
        <v>0</v>
      </c>
      <c r="E30" s="86">
        <f t="shared" si="5"/>
        <v>78607</v>
      </c>
      <c r="F30" s="86">
        <f>SUM(F31:F34)</f>
        <v>0</v>
      </c>
      <c r="G30" s="86">
        <f t="shared" si="6"/>
        <v>0</v>
      </c>
      <c r="H30" s="173">
        <f t="shared" si="7"/>
        <v>0</v>
      </c>
      <c r="I30" s="173">
        <f t="shared" si="8"/>
        <v>0</v>
      </c>
    </row>
    <row r="31" spans="1:11" x14ac:dyDescent="0.25">
      <c r="A31" s="83" t="s">
        <v>20</v>
      </c>
      <c r="B31" s="95" t="s">
        <v>21</v>
      </c>
      <c r="C31" s="118">
        <v>15945</v>
      </c>
      <c r="D31" s="118">
        <v>0</v>
      </c>
      <c r="E31" s="118">
        <f t="shared" si="5"/>
        <v>15945</v>
      </c>
      <c r="F31" s="118">
        <v>0</v>
      </c>
      <c r="G31" s="118">
        <f t="shared" si="6"/>
        <v>0</v>
      </c>
      <c r="H31" s="174">
        <f t="shared" si="7"/>
        <v>0</v>
      </c>
      <c r="I31" s="174">
        <f t="shared" si="8"/>
        <v>0</v>
      </c>
    </row>
    <row r="32" spans="1:11" hidden="1" x14ac:dyDescent="0.25">
      <c r="A32" s="83" t="s">
        <v>22</v>
      </c>
      <c r="B32" s="84" t="s">
        <v>23</v>
      </c>
      <c r="C32" s="118"/>
      <c r="D32" s="118"/>
      <c r="E32" s="118">
        <f t="shared" si="5"/>
        <v>0</v>
      </c>
      <c r="F32" s="118"/>
      <c r="G32" s="118">
        <f t="shared" si="6"/>
        <v>0</v>
      </c>
      <c r="H32" s="175" t="e">
        <f t="shared" si="7"/>
        <v>#DIV/0!</v>
      </c>
      <c r="I32" s="175" t="e">
        <f t="shared" si="8"/>
        <v>#DIV/0!</v>
      </c>
    </row>
    <row r="33" spans="1:9" x14ac:dyDescent="0.25">
      <c r="A33" s="83" t="s">
        <v>24</v>
      </c>
      <c r="B33" s="84" t="s">
        <v>25</v>
      </c>
      <c r="C33" s="118">
        <v>45654</v>
      </c>
      <c r="D33" s="118">
        <v>0</v>
      </c>
      <c r="E33" s="118">
        <f t="shared" si="5"/>
        <v>45654</v>
      </c>
      <c r="F33" s="118">
        <v>0</v>
      </c>
      <c r="G33" s="118">
        <f t="shared" si="6"/>
        <v>0</v>
      </c>
      <c r="H33" s="175">
        <f t="shared" si="7"/>
        <v>0</v>
      </c>
      <c r="I33" s="175">
        <f t="shared" si="8"/>
        <v>0</v>
      </c>
    </row>
    <row r="34" spans="1:9" x14ac:dyDescent="0.25">
      <c r="A34" s="83" t="s">
        <v>26</v>
      </c>
      <c r="B34" s="84" t="s">
        <v>27</v>
      </c>
      <c r="C34" s="118">
        <v>17008</v>
      </c>
      <c r="D34" s="118">
        <v>0</v>
      </c>
      <c r="E34" s="118">
        <f t="shared" si="5"/>
        <v>17008</v>
      </c>
      <c r="F34" s="118">
        <v>0</v>
      </c>
      <c r="G34" s="118">
        <f t="shared" si="6"/>
        <v>0</v>
      </c>
      <c r="H34" s="175">
        <f t="shared" si="7"/>
        <v>0</v>
      </c>
      <c r="I34" s="175">
        <f t="shared" si="8"/>
        <v>0</v>
      </c>
    </row>
    <row r="35" spans="1:9" x14ac:dyDescent="0.25">
      <c r="A35" s="69">
        <v>34</v>
      </c>
      <c r="B35" s="77" t="s">
        <v>78</v>
      </c>
      <c r="C35" s="71">
        <f>+C36</f>
        <v>10</v>
      </c>
      <c r="D35" s="71">
        <f>+D36</f>
        <v>300424</v>
      </c>
      <c r="E35" s="71">
        <f t="shared" si="5"/>
        <v>-300414</v>
      </c>
      <c r="F35" s="71">
        <f>+F36</f>
        <v>300424</v>
      </c>
      <c r="G35" s="71">
        <f t="shared" si="6"/>
        <v>0</v>
      </c>
      <c r="H35" s="172">
        <f t="shared" si="7"/>
        <v>30042.400000000001</v>
      </c>
      <c r="I35" s="172">
        <f t="shared" si="8"/>
        <v>30042.400000000001</v>
      </c>
    </row>
    <row r="36" spans="1:9" x14ac:dyDescent="0.25">
      <c r="A36" s="83" t="s">
        <v>79</v>
      </c>
      <c r="B36" s="84" t="s">
        <v>80</v>
      </c>
      <c r="C36" s="119">
        <v>10</v>
      </c>
      <c r="D36" s="119">
        <v>300424</v>
      </c>
      <c r="E36" s="119">
        <f t="shared" si="5"/>
        <v>-300414</v>
      </c>
      <c r="F36" s="119">
        <v>300424</v>
      </c>
      <c r="G36" s="119">
        <f t="shared" si="6"/>
        <v>0</v>
      </c>
      <c r="H36" s="176">
        <f t="shared" si="7"/>
        <v>30042.400000000001</v>
      </c>
      <c r="I36" s="176">
        <f t="shared" si="8"/>
        <v>30042.400000000001</v>
      </c>
    </row>
    <row r="37" spans="1:9" x14ac:dyDescent="0.25">
      <c r="A37" s="108"/>
      <c r="B37" s="109" t="s">
        <v>29</v>
      </c>
      <c r="C37" s="110">
        <f>+C21+C28+C29+C30+C35</f>
        <v>6943676</v>
      </c>
      <c r="D37" s="110">
        <f t="shared" ref="D37:G37" si="9">+D21+D28+D29+D30+D35</f>
        <v>4959519</v>
      </c>
      <c r="E37" s="110">
        <f t="shared" si="9"/>
        <v>1984157</v>
      </c>
      <c r="F37" s="110">
        <f t="shared" si="9"/>
        <v>1273218</v>
      </c>
      <c r="G37" s="110">
        <f t="shared" si="9"/>
        <v>3686301</v>
      </c>
      <c r="H37" s="177">
        <f t="shared" si="7"/>
        <v>0.71424977202277296</v>
      </c>
      <c r="I37" s="177">
        <f t="shared" si="8"/>
        <v>0.18336368229162767</v>
      </c>
    </row>
    <row r="39" spans="1:9" x14ac:dyDescent="0.25">
      <c r="C39" s="73"/>
    </row>
  </sheetData>
  <mergeCells count="2">
    <mergeCell ref="A2:I2"/>
    <mergeCell ref="A3:I3"/>
  </mergeCells>
  <pageMargins left="0.7" right="0.7" top="0.75" bottom="0.75" header="0.3" footer="0.3"/>
  <pageSetup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2:K34"/>
  <sheetViews>
    <sheetView zoomScale="90" zoomScaleNormal="90" workbookViewId="0">
      <selection activeCell="A2" sqref="A2:I2"/>
    </sheetView>
  </sheetViews>
  <sheetFormatPr baseColWidth="10" defaultRowHeight="15" x14ac:dyDescent="0.25"/>
  <cols>
    <col min="1" max="1" width="11.42578125" style="64"/>
    <col min="2" max="2" width="44.42578125" style="64" bestFit="1" customWidth="1"/>
    <col min="3" max="4" width="14.7109375" style="64" customWidth="1"/>
    <col min="5" max="5" width="15.28515625" style="64" bestFit="1" customWidth="1"/>
    <col min="6" max="6" width="14.7109375" style="64" customWidth="1"/>
    <col min="7" max="7" width="15.42578125" style="64" bestFit="1" customWidth="1"/>
    <col min="8" max="9" width="14.85546875" style="171" customWidth="1"/>
    <col min="10" max="16384" width="11.42578125" style="64"/>
  </cols>
  <sheetData>
    <row r="2" spans="1:9" x14ac:dyDescent="0.25">
      <c r="A2" s="235" t="s">
        <v>107</v>
      </c>
      <c r="B2" s="235"/>
      <c r="C2" s="235"/>
      <c r="D2" s="235"/>
      <c r="E2" s="235"/>
      <c r="F2" s="235"/>
      <c r="G2" s="235"/>
      <c r="H2" s="235"/>
      <c r="I2" s="235"/>
    </row>
    <row r="3" spans="1:9" x14ac:dyDescent="0.25">
      <c r="A3" s="236" t="s">
        <v>340</v>
      </c>
      <c r="B3" s="236"/>
      <c r="C3" s="236"/>
      <c r="D3" s="236"/>
      <c r="E3" s="236"/>
      <c r="F3" s="236"/>
      <c r="G3" s="236"/>
      <c r="H3" s="236"/>
      <c r="I3" s="236"/>
    </row>
    <row r="4" spans="1:9" x14ac:dyDescent="0.25">
      <c r="A4" s="220" t="s">
        <v>315</v>
      </c>
      <c r="B4"/>
      <c r="C4" s="28"/>
      <c r="D4" s="28"/>
      <c r="E4"/>
      <c r="F4" s="28"/>
      <c r="G4"/>
      <c r="H4"/>
      <c r="I4"/>
    </row>
    <row r="5" spans="1:9" ht="25.5" x14ac:dyDescent="0.25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5" t="s">
        <v>7</v>
      </c>
      <c r="I5" s="5" t="s">
        <v>8</v>
      </c>
    </row>
    <row r="6" spans="1:9" x14ac:dyDescent="0.25">
      <c r="A6" s="202" t="s">
        <v>298</v>
      </c>
      <c r="B6" s="208" t="s">
        <v>299</v>
      </c>
      <c r="C6" s="209">
        <f>+C7</f>
        <v>7591361</v>
      </c>
      <c r="D6" s="209">
        <f>+D7</f>
        <v>965955</v>
      </c>
      <c r="E6" s="8">
        <f t="shared" ref="E6:E10" si="0">+C6-D6</f>
        <v>6625406</v>
      </c>
      <c r="F6" s="209">
        <f>+F7</f>
        <v>965955</v>
      </c>
      <c r="G6" s="209">
        <f t="shared" ref="G6:G10" si="1">+D6-F6</f>
        <v>0</v>
      </c>
      <c r="H6" s="9">
        <f t="shared" ref="H6:H10" si="2">+D6/C6</f>
        <v>0.12724398167864762</v>
      </c>
      <c r="I6" s="9">
        <f t="shared" ref="I6:I10" si="3">+F6/C6</f>
        <v>0.12724398167864762</v>
      </c>
    </row>
    <row r="7" spans="1:9" x14ac:dyDescent="0.25">
      <c r="A7" s="222" t="s">
        <v>300</v>
      </c>
      <c r="B7" s="223" t="s">
        <v>301</v>
      </c>
      <c r="C7" s="224">
        <f>+C8+C9</f>
        <v>7591361</v>
      </c>
      <c r="D7" s="224">
        <f>+D8+D9</f>
        <v>965955</v>
      </c>
      <c r="E7" s="151">
        <f t="shared" si="0"/>
        <v>6625406</v>
      </c>
      <c r="F7" s="224">
        <f>+F8+F9</f>
        <v>965955</v>
      </c>
      <c r="G7" s="224">
        <f t="shared" si="1"/>
        <v>0</v>
      </c>
      <c r="H7" s="32">
        <f t="shared" si="2"/>
        <v>0.12724398167864762</v>
      </c>
      <c r="I7" s="32">
        <f t="shared" si="3"/>
        <v>0.12724398167864762</v>
      </c>
    </row>
    <row r="8" spans="1:9" x14ac:dyDescent="0.25">
      <c r="A8" s="35" t="s">
        <v>302</v>
      </c>
      <c r="B8" s="203" t="s">
        <v>303</v>
      </c>
      <c r="C8" s="11">
        <v>5844127</v>
      </c>
      <c r="D8" s="11">
        <v>704007</v>
      </c>
      <c r="E8" s="150">
        <f t="shared" si="0"/>
        <v>5140120</v>
      </c>
      <c r="F8" s="11">
        <v>704007</v>
      </c>
      <c r="G8" s="11">
        <f t="shared" si="1"/>
        <v>0</v>
      </c>
      <c r="H8" s="12">
        <f t="shared" si="2"/>
        <v>0.12046401455683629</v>
      </c>
      <c r="I8" s="12">
        <f t="shared" si="3"/>
        <v>0.12046401455683629</v>
      </c>
    </row>
    <row r="9" spans="1:9" x14ac:dyDescent="0.25">
      <c r="A9" s="35" t="s">
        <v>304</v>
      </c>
      <c r="B9" s="203" t="s">
        <v>305</v>
      </c>
      <c r="C9" s="11">
        <v>1747234</v>
      </c>
      <c r="D9" s="11">
        <v>261948</v>
      </c>
      <c r="E9" s="150">
        <f t="shared" si="0"/>
        <v>1485286</v>
      </c>
      <c r="F9" s="11">
        <v>261948</v>
      </c>
      <c r="G9" s="11">
        <f t="shared" si="1"/>
        <v>0</v>
      </c>
      <c r="H9" s="12">
        <f t="shared" si="2"/>
        <v>0.14992153312034909</v>
      </c>
      <c r="I9" s="12">
        <f t="shared" si="3"/>
        <v>0.14992153312034909</v>
      </c>
    </row>
    <row r="10" spans="1:9" x14ac:dyDescent="0.25">
      <c r="A10" s="213" t="s">
        <v>310</v>
      </c>
      <c r="B10" s="214" t="s">
        <v>311</v>
      </c>
      <c r="C10" s="209">
        <v>10</v>
      </c>
      <c r="D10" s="209">
        <v>0</v>
      </c>
      <c r="E10" s="16">
        <f t="shared" si="0"/>
        <v>10</v>
      </c>
      <c r="F10" s="209">
        <v>0</v>
      </c>
      <c r="G10" s="209">
        <f t="shared" si="1"/>
        <v>0</v>
      </c>
      <c r="H10" s="9">
        <f t="shared" si="2"/>
        <v>0</v>
      </c>
      <c r="I10" s="9">
        <f t="shared" si="3"/>
        <v>0</v>
      </c>
    </row>
    <row r="11" spans="1:9" x14ac:dyDescent="0.25">
      <c r="A11" s="212"/>
      <c r="B11" s="218" t="s">
        <v>29</v>
      </c>
      <c r="C11" s="219">
        <f>+C6+C10</f>
        <v>7591371</v>
      </c>
      <c r="D11" s="219">
        <f>+D6+D10</f>
        <v>965955</v>
      </c>
      <c r="E11" s="219">
        <f>+E6+E10</f>
        <v>6625416</v>
      </c>
      <c r="F11" s="219">
        <f>+F6+F10</f>
        <v>965955</v>
      </c>
      <c r="G11" s="219">
        <f>+G6+G10</f>
        <v>0</v>
      </c>
      <c r="H11" s="26">
        <f>+D11/C11</f>
        <v>0.12724381406204491</v>
      </c>
      <c r="I11" s="26">
        <f>+F11/C11</f>
        <v>0.12724381406204491</v>
      </c>
    </row>
    <row r="12" spans="1:9" x14ac:dyDescent="0.25">
      <c r="C12" s="73"/>
      <c r="D12" s="73"/>
    </row>
    <row r="13" spans="1:9" x14ac:dyDescent="0.25">
      <c r="A13" s="88" t="s">
        <v>316</v>
      </c>
      <c r="C13" s="73"/>
      <c r="D13" s="73"/>
    </row>
    <row r="14" spans="1:9" ht="25.5" x14ac:dyDescent="0.25">
      <c r="A14" s="65" t="s">
        <v>0</v>
      </c>
      <c r="B14" s="66" t="s">
        <v>1</v>
      </c>
      <c r="C14" s="116" t="s">
        <v>2</v>
      </c>
      <c r="D14" s="66" t="s">
        <v>3</v>
      </c>
      <c r="E14" s="66" t="s">
        <v>4</v>
      </c>
      <c r="F14" s="66" t="s">
        <v>5</v>
      </c>
      <c r="G14" s="67" t="s">
        <v>6</v>
      </c>
      <c r="H14" s="68" t="s">
        <v>7</v>
      </c>
      <c r="I14" s="68" t="s">
        <v>8</v>
      </c>
    </row>
    <row r="15" spans="1:9" x14ac:dyDescent="0.25">
      <c r="A15" s="69">
        <v>21</v>
      </c>
      <c r="B15" s="70" t="s">
        <v>9</v>
      </c>
      <c r="C15" s="71">
        <f>SUM(C16:C21)</f>
        <v>5844127</v>
      </c>
      <c r="D15" s="71">
        <f>SUM(D16:D21)</f>
        <v>751075</v>
      </c>
      <c r="E15" s="71">
        <f>C15-D15</f>
        <v>5093052</v>
      </c>
      <c r="F15" s="71">
        <f>SUM(F16:F21)</f>
        <v>751075</v>
      </c>
      <c r="G15" s="71">
        <f>D15-F15</f>
        <v>0</v>
      </c>
      <c r="H15" s="172">
        <f>D15/C15</f>
        <v>0.12851791208507277</v>
      </c>
      <c r="I15" s="172">
        <f>F15/C15</f>
        <v>0.12851791208507277</v>
      </c>
    </row>
    <row r="16" spans="1:9" x14ac:dyDescent="0.25">
      <c r="A16" s="69"/>
      <c r="B16" s="10" t="s">
        <v>10</v>
      </c>
      <c r="C16" s="74">
        <f>5844127-SUM(C17:C21)</f>
        <v>5152754</v>
      </c>
      <c r="D16" s="74">
        <f>751075-SUM(D17:D21)</f>
        <v>642525</v>
      </c>
      <c r="E16" s="74">
        <f t="shared" ref="E16:E29" si="4">C16-D16</f>
        <v>4510229</v>
      </c>
      <c r="F16" s="74">
        <f>751075-SUM(F17:F21)</f>
        <v>642525</v>
      </c>
      <c r="G16" s="188">
        <f t="shared" ref="G16:G29" si="5">D16-F16</f>
        <v>0</v>
      </c>
      <c r="H16" s="75">
        <f t="shared" ref="H16:H30" si="6">D16/C16</f>
        <v>0.12469545412026267</v>
      </c>
      <c r="I16" s="75">
        <f t="shared" ref="I16:I30" si="7">F16/C16</f>
        <v>0.12469545412026267</v>
      </c>
    </row>
    <row r="17" spans="1:11" x14ac:dyDescent="0.25">
      <c r="A17" s="69"/>
      <c r="B17" s="10" t="s">
        <v>11</v>
      </c>
      <c r="C17" s="74">
        <v>12604</v>
      </c>
      <c r="D17" s="74">
        <v>2101</v>
      </c>
      <c r="E17" s="74">
        <f t="shared" si="4"/>
        <v>10503</v>
      </c>
      <c r="F17" s="74">
        <v>2101</v>
      </c>
      <c r="G17" s="188">
        <f t="shared" si="5"/>
        <v>0</v>
      </c>
      <c r="H17" s="75" t="s">
        <v>111</v>
      </c>
      <c r="I17" s="75" t="s">
        <v>111</v>
      </c>
    </row>
    <row r="18" spans="1:11" x14ac:dyDescent="0.25">
      <c r="A18" s="69"/>
      <c r="B18" s="10" t="s">
        <v>12</v>
      </c>
      <c r="C18" s="74">
        <v>23629</v>
      </c>
      <c r="D18" s="74">
        <v>134</v>
      </c>
      <c r="E18" s="74">
        <f t="shared" si="4"/>
        <v>23495</v>
      </c>
      <c r="F18" s="74">
        <v>134</v>
      </c>
      <c r="G18" s="188">
        <f t="shared" si="5"/>
        <v>0</v>
      </c>
      <c r="H18" s="75">
        <f t="shared" si="6"/>
        <v>5.6709975030682638E-3</v>
      </c>
      <c r="I18" s="75">
        <f t="shared" si="7"/>
        <v>5.6709975030682638E-3</v>
      </c>
    </row>
    <row r="19" spans="1:11" x14ac:dyDescent="0.25">
      <c r="A19" s="69"/>
      <c r="B19" s="10" t="s">
        <v>13</v>
      </c>
      <c r="C19" s="74">
        <v>29092</v>
      </c>
      <c r="D19" s="74">
        <v>5861</v>
      </c>
      <c r="E19" s="74">
        <f t="shared" si="4"/>
        <v>23231</v>
      </c>
      <c r="F19" s="74">
        <v>5861</v>
      </c>
      <c r="G19" s="188">
        <f t="shared" si="5"/>
        <v>0</v>
      </c>
      <c r="H19" s="75">
        <f t="shared" si="6"/>
        <v>0.2014643200879967</v>
      </c>
      <c r="I19" s="75">
        <f t="shared" si="7"/>
        <v>0.2014643200879967</v>
      </c>
      <c r="J19" s="73"/>
      <c r="K19" s="73"/>
    </row>
    <row r="20" spans="1:11" hidden="1" x14ac:dyDescent="0.25">
      <c r="A20" s="69"/>
      <c r="B20" s="10" t="s">
        <v>14</v>
      </c>
      <c r="C20" s="74"/>
      <c r="D20" s="74"/>
      <c r="E20" s="74">
        <f t="shared" si="4"/>
        <v>0</v>
      </c>
      <c r="F20" s="74"/>
      <c r="G20" s="188">
        <f t="shared" si="5"/>
        <v>0</v>
      </c>
      <c r="H20" s="75" t="s">
        <v>111</v>
      </c>
      <c r="I20" s="75" t="s">
        <v>111</v>
      </c>
    </row>
    <row r="21" spans="1:11" x14ac:dyDescent="0.25">
      <c r="A21" s="69"/>
      <c r="B21" s="10" t="s">
        <v>15</v>
      </c>
      <c r="C21" s="74">
        <v>626048</v>
      </c>
      <c r="D21" s="74">
        <v>100454</v>
      </c>
      <c r="E21" s="74">
        <f t="shared" si="4"/>
        <v>525594</v>
      </c>
      <c r="F21" s="74">
        <v>100454</v>
      </c>
      <c r="G21" s="188">
        <f t="shared" si="5"/>
        <v>0</v>
      </c>
      <c r="H21" s="75">
        <f t="shared" si="6"/>
        <v>0.16045734512369658</v>
      </c>
      <c r="I21" s="75">
        <f t="shared" si="7"/>
        <v>0.16045734512369658</v>
      </c>
    </row>
    <row r="22" spans="1:11" x14ac:dyDescent="0.25">
      <c r="A22" s="69">
        <v>22</v>
      </c>
      <c r="B22" s="77" t="s">
        <v>16</v>
      </c>
      <c r="C22" s="71">
        <v>1671464</v>
      </c>
      <c r="D22" s="71">
        <v>877964</v>
      </c>
      <c r="E22" s="71">
        <f t="shared" si="4"/>
        <v>793500</v>
      </c>
      <c r="F22" s="71">
        <v>166930</v>
      </c>
      <c r="G22" s="71">
        <f t="shared" si="5"/>
        <v>711034</v>
      </c>
      <c r="H22" s="172">
        <f t="shared" si="6"/>
        <v>0.5252664729841624</v>
      </c>
      <c r="I22" s="172">
        <f t="shared" si="7"/>
        <v>9.9870532658794919E-2</v>
      </c>
      <c r="J22" s="73"/>
      <c r="K22" s="73"/>
    </row>
    <row r="23" spans="1:11" hidden="1" x14ac:dyDescent="0.25">
      <c r="A23" s="69" t="s">
        <v>268</v>
      </c>
      <c r="B23" s="77" t="s">
        <v>70</v>
      </c>
      <c r="C23" s="71"/>
      <c r="D23" s="71"/>
      <c r="E23" s="71">
        <f t="shared" si="4"/>
        <v>0</v>
      </c>
      <c r="F23" s="71"/>
      <c r="G23" s="71">
        <f t="shared" si="5"/>
        <v>0</v>
      </c>
      <c r="H23" s="172" t="e">
        <f t="shared" si="6"/>
        <v>#DIV/0!</v>
      </c>
      <c r="I23" s="172" t="e">
        <f t="shared" si="7"/>
        <v>#DIV/0!</v>
      </c>
      <c r="J23" s="73"/>
      <c r="K23" s="73"/>
    </row>
    <row r="24" spans="1:11" x14ac:dyDescent="0.25">
      <c r="A24" s="117">
        <v>29</v>
      </c>
      <c r="B24" s="93" t="s">
        <v>17</v>
      </c>
      <c r="C24" s="86">
        <f>SUM(C25:C27)</f>
        <v>75770</v>
      </c>
      <c r="D24" s="86">
        <f>SUM(D25:D27)</f>
        <v>1845</v>
      </c>
      <c r="E24" s="86">
        <f t="shared" si="4"/>
        <v>73925</v>
      </c>
      <c r="F24" s="86">
        <f>SUM(F25:F27)</f>
        <v>1845</v>
      </c>
      <c r="G24" s="71">
        <f t="shared" si="5"/>
        <v>0</v>
      </c>
      <c r="H24" s="173">
        <f t="shared" si="6"/>
        <v>2.4350006598917777E-2</v>
      </c>
      <c r="I24" s="173">
        <f t="shared" si="7"/>
        <v>2.4350006598917777E-2</v>
      </c>
    </row>
    <row r="25" spans="1:11" x14ac:dyDescent="0.25">
      <c r="A25" s="83" t="s">
        <v>20</v>
      </c>
      <c r="B25" s="95" t="s">
        <v>21</v>
      </c>
      <c r="C25" s="118">
        <v>21260</v>
      </c>
      <c r="D25" s="118">
        <v>1845</v>
      </c>
      <c r="E25" s="118">
        <f t="shared" si="4"/>
        <v>19415</v>
      </c>
      <c r="F25" s="118">
        <v>1845</v>
      </c>
      <c r="G25" s="188">
        <f t="shared" si="5"/>
        <v>0</v>
      </c>
      <c r="H25" s="174">
        <f t="shared" si="6"/>
        <v>8.6782690498588902E-2</v>
      </c>
      <c r="I25" s="174">
        <f t="shared" si="7"/>
        <v>8.6782690498588902E-2</v>
      </c>
    </row>
    <row r="26" spans="1:11" x14ac:dyDescent="0.25">
      <c r="A26" s="83" t="s">
        <v>24</v>
      </c>
      <c r="B26" s="84" t="s">
        <v>25</v>
      </c>
      <c r="C26" s="118">
        <v>24574</v>
      </c>
      <c r="D26" s="118">
        <v>0</v>
      </c>
      <c r="E26" s="118">
        <f t="shared" si="4"/>
        <v>24574</v>
      </c>
      <c r="F26" s="118">
        <v>0</v>
      </c>
      <c r="G26" s="188">
        <f t="shared" si="5"/>
        <v>0</v>
      </c>
      <c r="H26" s="175">
        <f t="shared" si="6"/>
        <v>0</v>
      </c>
      <c r="I26" s="175">
        <f t="shared" si="7"/>
        <v>0</v>
      </c>
    </row>
    <row r="27" spans="1:11" x14ac:dyDescent="0.25">
      <c r="A27" s="83" t="s">
        <v>26</v>
      </c>
      <c r="B27" s="84" t="s">
        <v>27</v>
      </c>
      <c r="C27" s="118">
        <v>29936</v>
      </c>
      <c r="D27" s="118">
        <v>0</v>
      </c>
      <c r="E27" s="118">
        <f t="shared" si="4"/>
        <v>29936</v>
      </c>
      <c r="F27" s="118">
        <v>0</v>
      </c>
      <c r="G27" s="188">
        <f t="shared" si="5"/>
        <v>0</v>
      </c>
      <c r="H27" s="175">
        <f t="shared" si="6"/>
        <v>0</v>
      </c>
      <c r="I27" s="175">
        <f t="shared" si="7"/>
        <v>0</v>
      </c>
    </row>
    <row r="28" spans="1:11" x14ac:dyDescent="0.25">
      <c r="A28" s="69">
        <v>34</v>
      </c>
      <c r="B28" s="77" t="s">
        <v>78</v>
      </c>
      <c r="C28" s="71">
        <f>+C29</f>
        <v>10</v>
      </c>
      <c r="D28" s="71">
        <f>+D29</f>
        <v>157182</v>
      </c>
      <c r="E28" s="71">
        <f t="shared" si="4"/>
        <v>-157172</v>
      </c>
      <c r="F28" s="71">
        <f>+F29</f>
        <v>157182</v>
      </c>
      <c r="G28" s="71">
        <f t="shared" si="5"/>
        <v>0</v>
      </c>
      <c r="H28" s="172">
        <f t="shared" si="6"/>
        <v>15718.2</v>
      </c>
      <c r="I28" s="172">
        <f t="shared" si="7"/>
        <v>15718.2</v>
      </c>
    </row>
    <row r="29" spans="1:11" x14ac:dyDescent="0.25">
      <c r="A29" s="83" t="s">
        <v>79</v>
      </c>
      <c r="B29" s="84" t="s">
        <v>80</v>
      </c>
      <c r="C29" s="119">
        <v>10</v>
      </c>
      <c r="D29" s="119">
        <v>157182</v>
      </c>
      <c r="E29" s="119">
        <f t="shared" si="4"/>
        <v>-157172</v>
      </c>
      <c r="F29" s="119">
        <v>157182</v>
      </c>
      <c r="G29" s="188">
        <f t="shared" si="5"/>
        <v>0</v>
      </c>
      <c r="H29" s="176">
        <f t="shared" si="6"/>
        <v>15718.2</v>
      </c>
      <c r="I29" s="176">
        <f t="shared" si="7"/>
        <v>15718.2</v>
      </c>
    </row>
    <row r="30" spans="1:11" x14ac:dyDescent="0.25">
      <c r="A30" s="108"/>
      <c r="B30" s="109" t="s">
        <v>29</v>
      </c>
      <c r="C30" s="110">
        <f>+C15+C22++C23+C24+C28</f>
        <v>7591371</v>
      </c>
      <c r="D30" s="110">
        <f t="shared" ref="D30:G30" si="8">+D15+D22++D23+D24+D28</f>
        <v>1788066</v>
      </c>
      <c r="E30" s="110">
        <f t="shared" si="8"/>
        <v>5803305</v>
      </c>
      <c r="F30" s="110">
        <f t="shared" si="8"/>
        <v>1077032</v>
      </c>
      <c r="G30" s="110">
        <f t="shared" si="8"/>
        <v>711034</v>
      </c>
      <c r="H30" s="177">
        <f t="shared" si="6"/>
        <v>0.23553927215518777</v>
      </c>
      <c r="I30" s="177">
        <f t="shared" si="7"/>
        <v>0.14187582190357972</v>
      </c>
    </row>
    <row r="31" spans="1:11" x14ac:dyDescent="0.25">
      <c r="A31" s="113"/>
      <c r="B31" s="121"/>
      <c r="C31" s="120"/>
      <c r="D31" s="114"/>
      <c r="E31" s="114"/>
      <c r="F31" s="114"/>
      <c r="G31" s="114"/>
    </row>
    <row r="32" spans="1:11" x14ac:dyDescent="0.25">
      <c r="A32" s="113"/>
      <c r="B32" s="121"/>
      <c r="C32" s="120"/>
      <c r="D32" s="114"/>
      <c r="E32" s="120"/>
      <c r="F32" s="114"/>
      <c r="G32" s="114"/>
    </row>
    <row r="33" spans="1:7" x14ac:dyDescent="0.25">
      <c r="A33" s="114"/>
      <c r="B33" s="114" t="s">
        <v>81</v>
      </c>
      <c r="C33" s="120"/>
      <c r="D33" s="120"/>
      <c r="E33" s="114"/>
      <c r="F33" s="114"/>
      <c r="G33" s="114"/>
    </row>
    <row r="34" spans="1:7" x14ac:dyDescent="0.25">
      <c r="C34" s="73"/>
    </row>
  </sheetData>
  <mergeCells count="2">
    <mergeCell ref="A2:I2"/>
    <mergeCell ref="A3:I3"/>
  </mergeCells>
  <pageMargins left="0.7" right="0.7" top="0.75" bottom="0.75" header="0.3" footer="0.3"/>
  <pageSetup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R96"/>
  <sheetViews>
    <sheetView zoomScale="90" zoomScaleNormal="90" workbookViewId="0">
      <selection activeCell="A2" sqref="A2:I2"/>
    </sheetView>
  </sheetViews>
  <sheetFormatPr baseColWidth="10" defaultRowHeight="15" outlineLevelRow="1" x14ac:dyDescent="0.25"/>
  <cols>
    <col min="1" max="1" width="11.42578125" style="112"/>
    <col min="2" max="2" width="47.85546875" style="64" customWidth="1"/>
    <col min="3" max="3" width="15.140625" style="64" customWidth="1"/>
    <col min="4" max="4" width="14.7109375" style="64" customWidth="1"/>
    <col min="5" max="5" width="16.42578125" style="64" customWidth="1"/>
    <col min="6" max="6" width="14.5703125" style="64" customWidth="1"/>
    <col min="7" max="7" width="15.7109375" style="64" customWidth="1"/>
    <col min="8" max="8" width="13" style="64" customWidth="1"/>
    <col min="9" max="9" width="11.28515625" style="64" customWidth="1"/>
    <col min="10" max="11" width="11.42578125" style="64" customWidth="1"/>
    <col min="12" max="12" width="10.28515625" style="64" customWidth="1"/>
    <col min="13" max="13" width="11.28515625" style="64" customWidth="1"/>
    <col min="14" max="18" width="11.42578125" style="64" customWidth="1"/>
    <col min="19" max="16384" width="11.42578125" style="64"/>
  </cols>
  <sheetData>
    <row r="2" spans="1:18" x14ac:dyDescent="0.25">
      <c r="A2" s="235" t="s">
        <v>271</v>
      </c>
      <c r="B2" s="235"/>
      <c r="C2" s="235"/>
      <c r="D2" s="235"/>
      <c r="E2" s="235"/>
      <c r="F2" s="235"/>
      <c r="G2" s="235"/>
      <c r="H2" s="235"/>
      <c r="I2" s="235"/>
    </row>
    <row r="3" spans="1:18" x14ac:dyDescent="0.25">
      <c r="A3" s="236" t="s">
        <v>340</v>
      </c>
      <c r="B3" s="236"/>
      <c r="C3" s="236"/>
      <c r="D3" s="236"/>
      <c r="E3" s="236"/>
      <c r="F3" s="236"/>
      <c r="G3" s="236"/>
      <c r="H3" s="236"/>
      <c r="I3" s="236"/>
    </row>
    <row r="4" spans="1:18" x14ac:dyDescent="0.25">
      <c r="A4" s="220" t="s">
        <v>315</v>
      </c>
      <c r="B4"/>
      <c r="C4" s="28"/>
      <c r="D4" s="28"/>
      <c r="E4"/>
      <c r="F4" s="28"/>
      <c r="G4"/>
      <c r="H4"/>
      <c r="I4"/>
    </row>
    <row r="5" spans="1:18" ht="25.5" x14ac:dyDescent="0.25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5" t="s">
        <v>7</v>
      </c>
      <c r="I5" s="5" t="s">
        <v>8</v>
      </c>
    </row>
    <row r="6" spans="1:18" x14ac:dyDescent="0.25">
      <c r="A6" s="202" t="s">
        <v>290</v>
      </c>
      <c r="B6" s="208" t="s">
        <v>291</v>
      </c>
      <c r="C6" s="209">
        <f>+C7</f>
        <v>12453</v>
      </c>
      <c r="D6" s="209">
        <f>+D7</f>
        <v>0</v>
      </c>
      <c r="E6" s="8">
        <f>+C6-D6</f>
        <v>12453</v>
      </c>
      <c r="F6" s="209">
        <f>+F7</f>
        <v>0</v>
      </c>
      <c r="G6" s="209">
        <f>+D6-F6</f>
        <v>0</v>
      </c>
      <c r="H6" s="9">
        <f t="shared" ref="H6:H7" si="0">+D6/C6</f>
        <v>0</v>
      </c>
      <c r="I6" s="9">
        <f t="shared" ref="I6:I7" si="1">+F6/C6</f>
        <v>0</v>
      </c>
    </row>
    <row r="7" spans="1:18" x14ac:dyDescent="0.25">
      <c r="A7" s="35" t="s">
        <v>296</v>
      </c>
      <c r="B7" s="203" t="s">
        <v>297</v>
      </c>
      <c r="C7" s="11">
        <v>12453</v>
      </c>
      <c r="D7" s="11">
        <v>0</v>
      </c>
      <c r="E7" s="150">
        <f>+C7-D7</f>
        <v>12453</v>
      </c>
      <c r="F7" s="11">
        <v>0</v>
      </c>
      <c r="G7" s="11">
        <f>+D7-F7</f>
        <v>0</v>
      </c>
      <c r="H7" s="12">
        <f t="shared" si="0"/>
        <v>0</v>
      </c>
      <c r="I7" s="12">
        <f t="shared" si="1"/>
        <v>0</v>
      </c>
    </row>
    <row r="8" spans="1:18" x14ac:dyDescent="0.25">
      <c r="A8" s="202" t="s">
        <v>298</v>
      </c>
      <c r="B8" s="208" t="s">
        <v>299</v>
      </c>
      <c r="C8" s="209">
        <f>+C9</f>
        <v>7206186</v>
      </c>
      <c r="D8" s="209">
        <f>+D9</f>
        <v>854137</v>
      </c>
      <c r="E8" s="8">
        <f t="shared" ref="E8:E11" si="2">+C8-D8</f>
        <v>6352049</v>
      </c>
      <c r="F8" s="209">
        <f>+F9</f>
        <v>854137</v>
      </c>
      <c r="G8" s="209">
        <f t="shared" ref="G8:G11" si="3">+D8-F8</f>
        <v>0</v>
      </c>
      <c r="H8" s="9">
        <f t="shared" ref="H8:H11" si="4">+D8/C8</f>
        <v>0.1185283033216184</v>
      </c>
      <c r="I8" s="9">
        <f t="shared" ref="I8:I11" si="5">+F8/C8</f>
        <v>0.1185283033216184</v>
      </c>
    </row>
    <row r="9" spans="1:18" x14ac:dyDescent="0.25">
      <c r="A9" s="222" t="s">
        <v>300</v>
      </c>
      <c r="B9" s="223" t="s">
        <v>301</v>
      </c>
      <c r="C9" s="224">
        <f>+C10+C11</f>
        <v>7206186</v>
      </c>
      <c r="D9" s="224">
        <f>+D10+D11</f>
        <v>854137</v>
      </c>
      <c r="E9" s="151">
        <f t="shared" si="2"/>
        <v>6352049</v>
      </c>
      <c r="F9" s="224">
        <f>+F10+F11</f>
        <v>854137</v>
      </c>
      <c r="G9" s="224">
        <f t="shared" si="3"/>
        <v>0</v>
      </c>
      <c r="H9" s="32">
        <f t="shared" si="4"/>
        <v>0.1185283033216184</v>
      </c>
      <c r="I9" s="32">
        <f t="shared" si="5"/>
        <v>0.1185283033216184</v>
      </c>
    </row>
    <row r="10" spans="1:18" x14ac:dyDescent="0.25">
      <c r="A10" s="35" t="s">
        <v>302</v>
      </c>
      <c r="B10" s="203" t="s">
        <v>303</v>
      </c>
      <c r="C10" s="11">
        <v>4135512</v>
      </c>
      <c r="D10" s="11">
        <v>529189</v>
      </c>
      <c r="E10" s="150">
        <f t="shared" si="2"/>
        <v>3606323</v>
      </c>
      <c r="F10" s="11">
        <v>529189</v>
      </c>
      <c r="G10" s="11">
        <f t="shared" si="3"/>
        <v>0</v>
      </c>
      <c r="H10" s="12">
        <f t="shared" si="4"/>
        <v>0.12796214833858541</v>
      </c>
      <c r="I10" s="12">
        <f t="shared" si="5"/>
        <v>0.12796214833858541</v>
      </c>
    </row>
    <row r="11" spans="1:18" x14ac:dyDescent="0.25">
      <c r="A11" s="35" t="s">
        <v>304</v>
      </c>
      <c r="B11" s="203" t="s">
        <v>305</v>
      </c>
      <c r="C11" s="11">
        <f>7206186-C10</f>
        <v>3070674</v>
      </c>
      <c r="D11" s="11">
        <v>324948</v>
      </c>
      <c r="E11" s="150">
        <f t="shared" si="2"/>
        <v>2745726</v>
      </c>
      <c r="F11" s="11">
        <v>324948</v>
      </c>
      <c r="G11" s="11">
        <f t="shared" si="3"/>
        <v>0</v>
      </c>
      <c r="H11" s="12">
        <f t="shared" si="4"/>
        <v>0.10582302126503823</v>
      </c>
      <c r="I11" s="12">
        <f t="shared" si="5"/>
        <v>0.10582302126503823</v>
      </c>
    </row>
    <row r="12" spans="1:18" x14ac:dyDescent="0.25">
      <c r="A12" s="212"/>
      <c r="B12" s="218" t="s">
        <v>29</v>
      </c>
      <c r="C12" s="219">
        <f>+C6+C8</f>
        <v>7218639</v>
      </c>
      <c r="D12" s="219">
        <f t="shared" ref="D12:F12" si="6">+D6+D8</f>
        <v>854137</v>
      </c>
      <c r="E12" s="219">
        <f t="shared" si="6"/>
        <v>6364502</v>
      </c>
      <c r="F12" s="219">
        <f t="shared" si="6"/>
        <v>854137</v>
      </c>
      <c r="G12" s="219">
        <f t="shared" ref="G12" si="7">+G8</f>
        <v>0</v>
      </c>
      <c r="H12" s="26">
        <f>+D12/C12</f>
        <v>0.11832382807894951</v>
      </c>
      <c r="I12" s="26">
        <f>+F12/C12</f>
        <v>0.11832382807894951</v>
      </c>
    </row>
    <row r="14" spans="1:18" x14ac:dyDescent="0.25">
      <c r="A14" s="227" t="s">
        <v>316</v>
      </c>
    </row>
    <row r="15" spans="1:18" ht="25.5" x14ac:dyDescent="0.25">
      <c r="A15" s="65" t="s">
        <v>0</v>
      </c>
      <c r="B15" s="66" t="s">
        <v>1</v>
      </c>
      <c r="C15" s="66" t="s">
        <v>2</v>
      </c>
      <c r="D15" s="66" t="s">
        <v>3</v>
      </c>
      <c r="E15" s="66" t="s">
        <v>4</v>
      </c>
      <c r="F15" s="66" t="s">
        <v>5</v>
      </c>
      <c r="G15" s="67" t="s">
        <v>6</v>
      </c>
      <c r="H15" s="68" t="s">
        <v>7</v>
      </c>
      <c r="I15" s="68" t="s">
        <v>8</v>
      </c>
    </row>
    <row r="16" spans="1:18" x14ac:dyDescent="0.25">
      <c r="A16" s="69">
        <v>21</v>
      </c>
      <c r="B16" s="70" t="s">
        <v>9</v>
      </c>
      <c r="C16" s="71">
        <f>SUM(C17:C22)</f>
        <v>4125135</v>
      </c>
      <c r="D16" s="71">
        <f>SUM(D17:D22)</f>
        <v>566400</v>
      </c>
      <c r="E16" s="71">
        <f>C16-D16</f>
        <v>3558735</v>
      </c>
      <c r="F16" s="71">
        <f>SUM(F17:F22)</f>
        <v>566400</v>
      </c>
      <c r="G16" s="71">
        <f>D16-F16</f>
        <v>0</v>
      </c>
      <c r="H16" s="72">
        <f>+D16/C16</f>
        <v>0.13730459730408823</v>
      </c>
      <c r="I16" s="72">
        <f>F16/C16</f>
        <v>0.13730459730408823</v>
      </c>
      <c r="J16" s="73"/>
      <c r="K16" s="73"/>
      <c r="L16" s="73"/>
      <c r="M16" s="73"/>
      <c r="N16" s="73"/>
      <c r="O16" s="73"/>
      <c r="P16" s="73"/>
      <c r="Q16" s="73"/>
      <c r="R16" s="73"/>
    </row>
    <row r="17" spans="1:18" outlineLevel="1" x14ac:dyDescent="0.25">
      <c r="A17" s="69"/>
      <c r="B17" s="10" t="s">
        <v>10</v>
      </c>
      <c r="C17" s="74">
        <f>4125135-SUM(C18:C22)</f>
        <v>3933815</v>
      </c>
      <c r="D17" s="74">
        <f>566400-SUM(D18:D22)</f>
        <v>545111</v>
      </c>
      <c r="E17" s="74">
        <f t="shared" ref="E17:E38" si="8">C17-D17</f>
        <v>3388704</v>
      </c>
      <c r="F17" s="74">
        <f>566400-SUM(F18:F22)</f>
        <v>545111</v>
      </c>
      <c r="G17" s="74">
        <f t="shared" ref="G17:G38" si="9">D17-F17</f>
        <v>0</v>
      </c>
      <c r="H17" s="75">
        <f t="shared" ref="H17:H36" si="10">+D17/C17</f>
        <v>0.13857057334928052</v>
      </c>
      <c r="I17" s="75">
        <f t="shared" ref="I17:I40" si="11">F17/C17</f>
        <v>0.13857057334928052</v>
      </c>
      <c r="J17" s="73"/>
      <c r="K17" s="73"/>
      <c r="L17" s="73"/>
      <c r="M17" s="73"/>
      <c r="N17" s="73"/>
      <c r="O17" s="73"/>
      <c r="P17" s="73"/>
      <c r="Q17" s="73"/>
      <c r="R17" s="73"/>
    </row>
    <row r="18" spans="1:18" outlineLevel="1" x14ac:dyDescent="0.25">
      <c r="A18" s="69"/>
      <c r="B18" s="10" t="s">
        <v>11</v>
      </c>
      <c r="C18" s="74">
        <v>38303</v>
      </c>
      <c r="D18" s="74">
        <v>6384</v>
      </c>
      <c r="E18" s="74">
        <f t="shared" si="8"/>
        <v>31919</v>
      </c>
      <c r="F18" s="74">
        <v>6384</v>
      </c>
      <c r="G18" s="74">
        <f t="shared" si="9"/>
        <v>0</v>
      </c>
      <c r="H18" s="75">
        <f t="shared" si="10"/>
        <v>0.16667101793593192</v>
      </c>
      <c r="I18" s="75">
        <f t="shared" si="11"/>
        <v>0.16667101793593192</v>
      </c>
      <c r="J18" s="73"/>
      <c r="K18" s="73"/>
      <c r="L18" s="73"/>
      <c r="M18" s="73"/>
      <c r="N18" s="73"/>
      <c r="O18" s="73"/>
      <c r="P18" s="73"/>
      <c r="Q18" s="73"/>
      <c r="R18" s="73"/>
    </row>
    <row r="19" spans="1:18" outlineLevel="1" x14ac:dyDescent="0.25">
      <c r="A19" s="69"/>
      <c r="B19" s="10" t="s">
        <v>12</v>
      </c>
      <c r="C19" s="135">
        <v>38190</v>
      </c>
      <c r="D19" s="135">
        <v>2270</v>
      </c>
      <c r="E19" s="74">
        <f t="shared" si="8"/>
        <v>35920</v>
      </c>
      <c r="F19" s="74">
        <v>2270</v>
      </c>
      <c r="G19" s="74">
        <f t="shared" si="9"/>
        <v>0</v>
      </c>
      <c r="H19" s="75">
        <f t="shared" si="10"/>
        <v>5.943964388583399E-2</v>
      </c>
      <c r="I19" s="75">
        <f t="shared" si="11"/>
        <v>5.943964388583399E-2</v>
      </c>
      <c r="J19" s="73"/>
      <c r="K19" s="73"/>
      <c r="L19" s="73"/>
      <c r="M19" s="73"/>
      <c r="N19" s="73"/>
      <c r="O19" s="73"/>
      <c r="P19" s="73"/>
      <c r="Q19" s="73"/>
      <c r="R19" s="73"/>
    </row>
    <row r="20" spans="1:18" outlineLevel="1" x14ac:dyDescent="0.25">
      <c r="A20" s="69"/>
      <c r="B20" s="10" t="s">
        <v>13</v>
      </c>
      <c r="C20" s="135">
        <v>12869</v>
      </c>
      <c r="D20" s="135">
        <v>105</v>
      </c>
      <c r="E20" s="74">
        <f t="shared" si="8"/>
        <v>12764</v>
      </c>
      <c r="F20" s="74">
        <v>105</v>
      </c>
      <c r="G20" s="74">
        <f t="shared" si="9"/>
        <v>0</v>
      </c>
      <c r="H20" s="75">
        <f t="shared" si="10"/>
        <v>8.1591421244851976E-3</v>
      </c>
      <c r="I20" s="75">
        <f t="shared" si="11"/>
        <v>8.1591421244851976E-3</v>
      </c>
      <c r="J20" s="73"/>
      <c r="K20" s="73"/>
      <c r="L20" s="73"/>
      <c r="M20" s="73"/>
      <c r="N20" s="73"/>
      <c r="O20" s="73"/>
      <c r="P20" s="73"/>
      <c r="Q20" s="73"/>
      <c r="R20" s="73"/>
    </row>
    <row r="21" spans="1:18" hidden="1" outlineLevel="1" x14ac:dyDescent="0.25">
      <c r="A21" s="69"/>
      <c r="B21" s="10" t="s">
        <v>14</v>
      </c>
      <c r="C21" s="135"/>
      <c r="D21" s="135"/>
      <c r="E21" s="74">
        <f t="shared" si="8"/>
        <v>0</v>
      </c>
      <c r="F21" s="74"/>
      <c r="G21" s="74">
        <f t="shared" si="9"/>
        <v>0</v>
      </c>
      <c r="H21" s="75" t="e">
        <f t="shared" si="10"/>
        <v>#DIV/0!</v>
      </c>
      <c r="I21" s="75" t="e">
        <f t="shared" si="11"/>
        <v>#DIV/0!</v>
      </c>
      <c r="J21" s="73"/>
      <c r="K21" s="73"/>
      <c r="L21" s="73"/>
      <c r="M21" s="73"/>
      <c r="N21" s="73"/>
      <c r="O21" s="73"/>
      <c r="P21" s="73"/>
      <c r="Q21" s="73"/>
      <c r="R21" s="73"/>
    </row>
    <row r="22" spans="1:18" outlineLevel="1" x14ac:dyDescent="0.25">
      <c r="A22" s="69"/>
      <c r="B22" s="10" t="s">
        <v>15</v>
      </c>
      <c r="C22" s="135">
        <v>101958</v>
      </c>
      <c r="D22" s="135">
        <v>12530</v>
      </c>
      <c r="E22" s="74">
        <f t="shared" si="8"/>
        <v>89428</v>
      </c>
      <c r="F22" s="74">
        <v>12530</v>
      </c>
      <c r="G22" s="74">
        <f t="shared" si="9"/>
        <v>0</v>
      </c>
      <c r="H22" s="75">
        <f t="shared" si="10"/>
        <v>0.12289374055983837</v>
      </c>
      <c r="I22" s="75">
        <f t="shared" si="11"/>
        <v>0.12289374055983837</v>
      </c>
      <c r="J22" s="73"/>
      <c r="K22" s="73"/>
      <c r="L22" s="73"/>
      <c r="M22" s="73"/>
      <c r="N22" s="73"/>
      <c r="O22" s="73"/>
      <c r="P22" s="73"/>
      <c r="Q22" s="73"/>
      <c r="R22" s="73"/>
    </row>
    <row r="23" spans="1:18" x14ac:dyDescent="0.25">
      <c r="A23" s="69">
        <v>22</v>
      </c>
      <c r="B23" s="77" t="s">
        <v>16</v>
      </c>
      <c r="C23" s="136">
        <v>1420983</v>
      </c>
      <c r="D23" s="136">
        <v>341022</v>
      </c>
      <c r="E23" s="71">
        <f t="shared" si="8"/>
        <v>1079961</v>
      </c>
      <c r="F23" s="71">
        <v>118120</v>
      </c>
      <c r="G23" s="71">
        <f t="shared" si="9"/>
        <v>222902</v>
      </c>
      <c r="H23" s="72">
        <f t="shared" si="10"/>
        <v>0.23999020396443871</v>
      </c>
      <c r="I23" s="72">
        <f t="shared" si="11"/>
        <v>8.3125554633658533E-2</v>
      </c>
      <c r="J23" s="73"/>
      <c r="K23" s="73"/>
      <c r="L23" s="73"/>
      <c r="M23" s="73"/>
      <c r="N23" s="73"/>
      <c r="O23" s="73"/>
      <c r="P23" s="73"/>
      <c r="Q23" s="73"/>
      <c r="R23" s="73"/>
    </row>
    <row r="24" spans="1:18" x14ac:dyDescent="0.25">
      <c r="A24" s="69" t="s">
        <v>341</v>
      </c>
      <c r="B24" s="77" t="s">
        <v>31</v>
      </c>
      <c r="C24" s="136">
        <v>60870</v>
      </c>
      <c r="D24" s="136">
        <v>0</v>
      </c>
      <c r="E24" s="71">
        <f t="shared" ref="E24" si="12">C24-D24</f>
        <v>60870</v>
      </c>
      <c r="F24" s="71">
        <v>0</v>
      </c>
      <c r="G24" s="71">
        <f t="shared" ref="G24" si="13">D24-F24</f>
        <v>0</v>
      </c>
      <c r="H24" s="72">
        <f t="shared" ref="H24" si="14">+D24/C24</f>
        <v>0</v>
      </c>
      <c r="I24" s="72">
        <f t="shared" ref="I24" si="15">F24/C24</f>
        <v>0</v>
      </c>
      <c r="J24" s="73"/>
      <c r="K24" s="73"/>
      <c r="L24" s="73"/>
      <c r="M24" s="73"/>
      <c r="N24" s="73"/>
      <c r="O24" s="73"/>
      <c r="P24" s="73"/>
      <c r="Q24" s="73"/>
      <c r="R24" s="73"/>
    </row>
    <row r="25" spans="1:18" x14ac:dyDescent="0.25">
      <c r="A25" s="69">
        <v>24</v>
      </c>
      <c r="B25" s="77" t="s">
        <v>32</v>
      </c>
      <c r="C25" s="136">
        <f>+C26+C28</f>
        <v>522614</v>
      </c>
      <c r="D25" s="136">
        <f>+D26+D28</f>
        <v>98112</v>
      </c>
      <c r="E25" s="71">
        <f t="shared" si="8"/>
        <v>424502</v>
      </c>
      <c r="F25" s="136">
        <f>+F26+F28</f>
        <v>20616</v>
      </c>
      <c r="G25" s="71">
        <f t="shared" si="9"/>
        <v>77496</v>
      </c>
      <c r="H25" s="72">
        <f t="shared" si="10"/>
        <v>0.18773320270792593</v>
      </c>
      <c r="I25" s="72">
        <f t="shared" si="11"/>
        <v>3.9447852525956062E-2</v>
      </c>
      <c r="J25" s="73"/>
      <c r="K25" s="73"/>
      <c r="L25" s="73"/>
      <c r="M25" s="73"/>
      <c r="N25" s="73"/>
      <c r="O25" s="73"/>
      <c r="P25" s="73"/>
      <c r="Q25" s="73"/>
      <c r="R25" s="73"/>
    </row>
    <row r="26" spans="1:18" s="88" customFormat="1" x14ac:dyDescent="0.25">
      <c r="A26" s="78" t="s">
        <v>55</v>
      </c>
      <c r="B26" s="79" t="s">
        <v>56</v>
      </c>
      <c r="C26" s="139">
        <f>+C27</f>
        <v>519840</v>
      </c>
      <c r="D26" s="139">
        <f>+D27</f>
        <v>98112</v>
      </c>
      <c r="E26" s="86">
        <f t="shared" si="8"/>
        <v>421728</v>
      </c>
      <c r="F26" s="139">
        <f>+F27</f>
        <v>20616</v>
      </c>
      <c r="G26" s="86">
        <f t="shared" si="9"/>
        <v>77496</v>
      </c>
      <c r="H26" s="72">
        <f t="shared" si="10"/>
        <v>0.18873499538319483</v>
      </c>
      <c r="I26" s="72">
        <f t="shared" si="11"/>
        <v>3.9658356417359188E-2</v>
      </c>
      <c r="J26" s="73"/>
      <c r="K26" s="87"/>
      <c r="L26" s="87"/>
      <c r="M26" s="87"/>
      <c r="N26" s="87"/>
      <c r="O26" s="87"/>
      <c r="P26" s="87"/>
      <c r="Q26" s="87"/>
      <c r="R26" s="87"/>
    </row>
    <row r="27" spans="1:18" x14ac:dyDescent="0.25">
      <c r="A27" s="83" t="s">
        <v>184</v>
      </c>
      <c r="B27" s="84" t="s">
        <v>97</v>
      </c>
      <c r="C27" s="138">
        <v>519840</v>
      </c>
      <c r="D27" s="138">
        <v>98112</v>
      </c>
      <c r="E27" s="85">
        <f t="shared" si="8"/>
        <v>421728</v>
      </c>
      <c r="F27" s="85">
        <v>20616</v>
      </c>
      <c r="G27" s="85">
        <f t="shared" si="9"/>
        <v>77496</v>
      </c>
      <c r="H27" s="75">
        <f t="shared" si="10"/>
        <v>0.18873499538319483</v>
      </c>
      <c r="I27" s="75">
        <f t="shared" si="11"/>
        <v>3.9658356417359188E-2</v>
      </c>
      <c r="J27" s="73"/>
      <c r="K27" s="73"/>
      <c r="L27" s="73"/>
      <c r="M27" s="73"/>
      <c r="N27" s="73"/>
      <c r="O27" s="73"/>
      <c r="P27" s="73"/>
      <c r="Q27" s="73"/>
      <c r="R27" s="73"/>
    </row>
    <row r="28" spans="1:18" s="91" customFormat="1" x14ac:dyDescent="0.25">
      <c r="A28" s="78" t="s">
        <v>192</v>
      </c>
      <c r="B28" s="79" t="s">
        <v>193</v>
      </c>
      <c r="C28" s="80">
        <f>+C29</f>
        <v>2774</v>
      </c>
      <c r="D28" s="80">
        <f>+D29</f>
        <v>0</v>
      </c>
      <c r="E28" s="80">
        <f t="shared" si="8"/>
        <v>2774</v>
      </c>
      <c r="F28" s="80">
        <f>+F29</f>
        <v>0</v>
      </c>
      <c r="G28" s="80">
        <f t="shared" si="9"/>
        <v>0</v>
      </c>
      <c r="H28" s="81">
        <f t="shared" si="10"/>
        <v>0</v>
      </c>
      <c r="I28" s="81">
        <f t="shared" si="11"/>
        <v>0</v>
      </c>
      <c r="J28" s="73"/>
      <c r="K28" s="90"/>
      <c r="L28" s="90"/>
      <c r="M28" s="90"/>
      <c r="N28" s="90"/>
      <c r="O28" s="90"/>
      <c r="P28" s="90"/>
      <c r="Q28" s="90"/>
      <c r="R28" s="90"/>
    </row>
    <row r="29" spans="1:18" s="91" customFormat="1" x14ac:dyDescent="0.25">
      <c r="A29" s="191" t="s">
        <v>195</v>
      </c>
      <c r="B29" s="192" t="s">
        <v>196</v>
      </c>
      <c r="C29" s="85">
        <v>2774</v>
      </c>
      <c r="D29" s="85">
        <v>0</v>
      </c>
      <c r="E29" s="85">
        <f t="shared" si="8"/>
        <v>2774</v>
      </c>
      <c r="F29" s="85">
        <v>0</v>
      </c>
      <c r="G29" s="85">
        <f t="shared" si="9"/>
        <v>0</v>
      </c>
      <c r="H29" s="75">
        <f t="shared" si="10"/>
        <v>0</v>
      </c>
      <c r="I29" s="75">
        <f t="shared" si="11"/>
        <v>0</v>
      </c>
      <c r="J29" s="73"/>
      <c r="K29" s="90"/>
      <c r="L29" s="90"/>
      <c r="M29" s="90"/>
      <c r="N29" s="90"/>
      <c r="O29" s="90"/>
      <c r="P29" s="90"/>
      <c r="Q29" s="90"/>
      <c r="R29" s="90"/>
    </row>
    <row r="30" spans="1:18" s="88" customFormat="1" hidden="1" x14ac:dyDescent="0.25">
      <c r="A30" s="92" t="s">
        <v>268</v>
      </c>
      <c r="B30" s="93" t="s">
        <v>70</v>
      </c>
      <c r="C30" s="86">
        <v>0</v>
      </c>
      <c r="D30" s="86">
        <v>0</v>
      </c>
      <c r="E30" s="86">
        <f t="shared" si="8"/>
        <v>0</v>
      </c>
      <c r="F30" s="86">
        <v>0</v>
      </c>
      <c r="G30" s="86">
        <f t="shared" si="9"/>
        <v>0</v>
      </c>
      <c r="H30" s="75" t="e">
        <f t="shared" si="10"/>
        <v>#DIV/0!</v>
      </c>
      <c r="I30" s="75" t="e">
        <f t="shared" si="11"/>
        <v>#DIV/0!</v>
      </c>
      <c r="J30" s="87"/>
      <c r="K30" s="87"/>
      <c r="L30" s="87"/>
      <c r="M30" s="87"/>
      <c r="N30" s="87"/>
      <c r="O30" s="87"/>
      <c r="P30" s="87"/>
      <c r="Q30" s="87"/>
      <c r="R30" s="87"/>
    </row>
    <row r="31" spans="1:18" s="82" customFormat="1" x14ac:dyDescent="0.25">
      <c r="A31" s="92">
        <v>29</v>
      </c>
      <c r="B31" s="93" t="s">
        <v>17</v>
      </c>
      <c r="C31" s="86">
        <f>SUM(C32:C35)</f>
        <v>130902</v>
      </c>
      <c r="D31" s="86">
        <f>SUM(D32:D35)</f>
        <v>6643</v>
      </c>
      <c r="E31" s="86">
        <f t="shared" si="8"/>
        <v>124259</v>
      </c>
      <c r="F31" s="86">
        <f>SUM(F32:F35)</f>
        <v>5343</v>
      </c>
      <c r="G31" s="86">
        <f t="shared" si="9"/>
        <v>1300</v>
      </c>
      <c r="H31" s="72">
        <f>+D31/C31</f>
        <v>5.074788773280775E-2</v>
      </c>
      <c r="I31" s="72">
        <f t="shared" si="11"/>
        <v>4.0816794243021495E-2</v>
      </c>
      <c r="J31" s="73"/>
      <c r="K31" s="73"/>
      <c r="L31" s="73"/>
      <c r="M31" s="73"/>
      <c r="N31" s="73"/>
      <c r="O31" s="73"/>
      <c r="P31" s="73"/>
      <c r="Q31" s="73"/>
      <c r="R31" s="73"/>
    </row>
    <row r="32" spans="1:18" ht="14.25" customHeight="1" x14ac:dyDescent="0.25">
      <c r="A32" s="94" t="s">
        <v>20</v>
      </c>
      <c r="B32" s="95" t="s">
        <v>21</v>
      </c>
      <c r="C32" s="85">
        <v>81402</v>
      </c>
      <c r="D32" s="85">
        <v>2888</v>
      </c>
      <c r="E32" s="85">
        <f t="shared" si="8"/>
        <v>78514</v>
      </c>
      <c r="F32" s="85">
        <v>1588</v>
      </c>
      <c r="G32" s="85">
        <f t="shared" si="9"/>
        <v>1300</v>
      </c>
      <c r="H32" s="75">
        <f t="shared" si="10"/>
        <v>3.5478243777794155E-2</v>
      </c>
      <c r="I32" s="75">
        <f t="shared" si="11"/>
        <v>1.9508120193607037E-2</v>
      </c>
      <c r="J32" s="73"/>
      <c r="K32" s="73"/>
      <c r="L32" s="73"/>
      <c r="M32" s="73"/>
      <c r="N32" s="73"/>
      <c r="O32" s="73"/>
      <c r="P32" s="73"/>
      <c r="Q32" s="73"/>
      <c r="R32" s="73"/>
    </row>
    <row r="33" spans="1:18" x14ac:dyDescent="0.25">
      <c r="A33" s="83" t="s">
        <v>22</v>
      </c>
      <c r="B33" s="84" t="s">
        <v>23</v>
      </c>
      <c r="C33" s="85">
        <v>24712</v>
      </c>
      <c r="D33" s="85">
        <v>3755</v>
      </c>
      <c r="E33" s="85">
        <f t="shared" si="8"/>
        <v>20957</v>
      </c>
      <c r="F33" s="85">
        <v>3755</v>
      </c>
      <c r="G33" s="85">
        <f t="shared" si="9"/>
        <v>0</v>
      </c>
      <c r="H33" s="75">
        <f t="shared" si="10"/>
        <v>0.15195046940757526</v>
      </c>
      <c r="I33" s="75">
        <f t="shared" si="11"/>
        <v>0.15195046940757526</v>
      </c>
      <c r="J33" s="73"/>
      <c r="K33" s="73"/>
      <c r="L33" s="73"/>
      <c r="M33" s="73"/>
      <c r="N33" s="73"/>
      <c r="O33" s="73"/>
      <c r="P33" s="73"/>
      <c r="Q33" s="73"/>
      <c r="R33" s="73"/>
    </row>
    <row r="34" spans="1:18" x14ac:dyDescent="0.25">
      <c r="A34" s="83" t="s">
        <v>24</v>
      </c>
      <c r="B34" s="84" t="s">
        <v>25</v>
      </c>
      <c r="C34" s="85">
        <v>15906</v>
      </c>
      <c r="D34" s="85">
        <v>0</v>
      </c>
      <c r="E34" s="85">
        <f t="shared" si="8"/>
        <v>15906</v>
      </c>
      <c r="F34" s="85">
        <v>0</v>
      </c>
      <c r="G34" s="85">
        <f t="shared" si="9"/>
        <v>0</v>
      </c>
      <c r="H34" s="75">
        <f t="shared" si="10"/>
        <v>0</v>
      </c>
      <c r="I34" s="75">
        <f t="shared" si="11"/>
        <v>0</v>
      </c>
      <c r="J34" s="73"/>
      <c r="K34" s="73"/>
      <c r="L34" s="73"/>
      <c r="M34" s="73"/>
      <c r="N34" s="73"/>
      <c r="O34" s="73"/>
      <c r="P34" s="73"/>
      <c r="Q34" s="73"/>
      <c r="R34" s="73"/>
    </row>
    <row r="35" spans="1:18" x14ac:dyDescent="0.25">
      <c r="A35" s="83" t="s">
        <v>26</v>
      </c>
      <c r="B35" s="84" t="s">
        <v>27</v>
      </c>
      <c r="C35" s="85">
        <v>8882</v>
      </c>
      <c r="D35" s="85">
        <v>0</v>
      </c>
      <c r="E35" s="85">
        <f t="shared" si="8"/>
        <v>8882</v>
      </c>
      <c r="F35" s="85">
        <v>0</v>
      </c>
      <c r="G35" s="85">
        <f t="shared" si="9"/>
        <v>0</v>
      </c>
      <c r="H35" s="75">
        <f t="shared" si="10"/>
        <v>0</v>
      </c>
      <c r="I35" s="75">
        <f t="shared" si="11"/>
        <v>0</v>
      </c>
      <c r="J35" s="73"/>
      <c r="K35" s="73"/>
      <c r="L35" s="73"/>
      <c r="M35" s="73"/>
      <c r="N35" s="73"/>
      <c r="O35" s="73"/>
      <c r="P35" s="73"/>
      <c r="Q35" s="73"/>
      <c r="R35" s="73"/>
    </row>
    <row r="36" spans="1:18" s="88" customFormat="1" x14ac:dyDescent="0.25">
      <c r="A36" s="69">
        <v>31</v>
      </c>
      <c r="B36" s="77" t="s">
        <v>71</v>
      </c>
      <c r="C36" s="86">
        <f>+C37</f>
        <v>958135</v>
      </c>
      <c r="D36" s="86">
        <f>+D37</f>
        <v>260556</v>
      </c>
      <c r="E36" s="86">
        <f t="shared" si="8"/>
        <v>697579</v>
      </c>
      <c r="F36" s="86">
        <f>+F37</f>
        <v>1197</v>
      </c>
      <c r="G36" s="86">
        <f t="shared" si="9"/>
        <v>259359</v>
      </c>
      <c r="H36" s="72">
        <f t="shared" si="10"/>
        <v>0.27194080166156126</v>
      </c>
      <c r="I36" s="72">
        <f t="shared" si="11"/>
        <v>1.249302029463489E-3</v>
      </c>
      <c r="J36" s="73"/>
      <c r="K36" s="87"/>
      <c r="L36" s="87"/>
      <c r="M36" s="87"/>
      <c r="N36" s="87"/>
      <c r="O36" s="87"/>
      <c r="P36" s="87"/>
      <c r="Q36" s="87"/>
      <c r="R36" s="87"/>
    </row>
    <row r="37" spans="1:18" x14ac:dyDescent="0.25">
      <c r="A37" s="83" t="s">
        <v>72</v>
      </c>
      <c r="B37" s="84" t="s">
        <v>73</v>
      </c>
      <c r="C37" s="85">
        <v>958135</v>
      </c>
      <c r="D37" s="85">
        <v>260556</v>
      </c>
      <c r="E37" s="85">
        <f t="shared" si="8"/>
        <v>697579</v>
      </c>
      <c r="F37" s="85">
        <v>1197</v>
      </c>
      <c r="G37" s="85">
        <f t="shared" si="9"/>
        <v>259359</v>
      </c>
      <c r="H37" s="75">
        <f>+D37/C37</f>
        <v>0.27194080166156126</v>
      </c>
      <c r="I37" s="75">
        <f t="shared" si="11"/>
        <v>1.249302029463489E-3</v>
      </c>
      <c r="J37" s="73"/>
      <c r="K37" s="73"/>
      <c r="L37" s="73"/>
      <c r="M37" s="73"/>
      <c r="N37" s="73"/>
      <c r="O37" s="73"/>
      <c r="P37" s="73"/>
      <c r="Q37" s="73"/>
      <c r="R37" s="73"/>
    </row>
    <row r="38" spans="1:18" x14ac:dyDescent="0.25">
      <c r="A38" s="69">
        <v>34</v>
      </c>
      <c r="B38" s="77" t="s">
        <v>78</v>
      </c>
      <c r="C38" s="86">
        <f>+C39</f>
        <v>0</v>
      </c>
      <c r="D38" s="86">
        <f>+D39</f>
        <v>386203</v>
      </c>
      <c r="E38" s="86">
        <f t="shared" si="8"/>
        <v>-386203</v>
      </c>
      <c r="F38" s="86">
        <f>+F39</f>
        <v>386203</v>
      </c>
      <c r="G38" s="86">
        <f t="shared" si="9"/>
        <v>0</v>
      </c>
      <c r="H38" s="72" t="e">
        <f t="shared" ref="H38" si="16">+D38/C38</f>
        <v>#DIV/0!</v>
      </c>
      <c r="I38" s="72" t="e">
        <f t="shared" ref="I38" si="17">F38/C38</f>
        <v>#DIV/0!</v>
      </c>
      <c r="J38" s="73"/>
      <c r="K38" s="73"/>
      <c r="L38" s="73"/>
      <c r="M38" s="73"/>
      <c r="N38" s="73"/>
      <c r="O38" s="73"/>
      <c r="P38" s="73"/>
      <c r="Q38" s="73"/>
      <c r="R38" s="73"/>
    </row>
    <row r="39" spans="1:18" x14ac:dyDescent="0.25">
      <c r="A39" s="83" t="s">
        <v>79</v>
      </c>
      <c r="B39" s="84" t="s">
        <v>80</v>
      </c>
      <c r="C39" s="85">
        <v>0</v>
      </c>
      <c r="D39" s="85">
        <v>386203</v>
      </c>
      <c r="E39" s="85">
        <f>+C39-D39</f>
        <v>-386203</v>
      </c>
      <c r="F39" s="85">
        <v>386203</v>
      </c>
      <c r="G39" s="85">
        <f>+D39-F39</f>
        <v>0</v>
      </c>
      <c r="H39" s="75" t="e">
        <f>+D39/C39</f>
        <v>#DIV/0!</v>
      </c>
      <c r="I39" s="75" t="e">
        <f t="shared" si="11"/>
        <v>#DIV/0!</v>
      </c>
      <c r="J39" s="73"/>
      <c r="K39" s="73"/>
      <c r="L39" s="73"/>
      <c r="M39" s="73"/>
      <c r="N39" s="73"/>
      <c r="O39" s="73"/>
      <c r="P39" s="73"/>
      <c r="Q39" s="73"/>
      <c r="R39" s="73"/>
    </row>
    <row r="40" spans="1:18" x14ac:dyDescent="0.25">
      <c r="A40" s="108"/>
      <c r="B40" s="109" t="s">
        <v>29</v>
      </c>
      <c r="C40" s="110">
        <f>+C16+C23+C24+C25+C31+C36+C38</f>
        <v>7218639</v>
      </c>
      <c r="D40" s="110">
        <f t="shared" ref="D40:G40" si="18">+D16+D23+D24+D25+D31+D36+D38</f>
        <v>1658936</v>
      </c>
      <c r="E40" s="110">
        <f t="shared" si="18"/>
        <v>5559703</v>
      </c>
      <c r="F40" s="110">
        <f t="shared" si="18"/>
        <v>1097879</v>
      </c>
      <c r="G40" s="110">
        <f t="shared" si="18"/>
        <v>561057</v>
      </c>
      <c r="H40" s="111">
        <f>+D40/C40</f>
        <v>0.22981284976295394</v>
      </c>
      <c r="I40" s="111">
        <f t="shared" si="11"/>
        <v>0.15208947282167734</v>
      </c>
      <c r="K40" s="73"/>
      <c r="L40" s="73"/>
      <c r="M40" s="73"/>
      <c r="N40" s="73"/>
      <c r="O40" s="73"/>
      <c r="P40" s="73"/>
      <c r="Q40" s="73"/>
      <c r="R40" s="73"/>
    </row>
    <row r="41" spans="1:18" x14ac:dyDescent="0.25">
      <c r="C41" s="28"/>
      <c r="D41" s="134"/>
      <c r="F41" s="134"/>
    </row>
    <row r="42" spans="1:18" x14ac:dyDescent="0.25">
      <c r="C42"/>
      <c r="E42" s="73"/>
    </row>
    <row r="43" spans="1:18" x14ac:dyDescent="0.25">
      <c r="C43" s="73"/>
    </row>
    <row r="45" spans="1:18" hidden="1" x14ac:dyDescent="0.25"/>
    <row r="46" spans="1:18" hidden="1" x14ac:dyDescent="0.25">
      <c r="A46" s="65" t="s">
        <v>0</v>
      </c>
      <c r="B46" s="66" t="s">
        <v>1</v>
      </c>
      <c r="C46" s="66"/>
      <c r="D46" s="66"/>
      <c r="E46" s="66"/>
      <c r="F46" s="66"/>
      <c r="G46" s="67"/>
      <c r="H46" s="68"/>
      <c r="I46" s="68"/>
    </row>
    <row r="47" spans="1:18" hidden="1" x14ac:dyDescent="0.25">
      <c r="A47" s="69">
        <v>21</v>
      </c>
      <c r="B47" s="70" t="s">
        <v>9</v>
      </c>
      <c r="C47" s="71"/>
      <c r="D47" s="71"/>
      <c r="E47" s="71"/>
      <c r="F47" s="71"/>
      <c r="G47" s="71"/>
      <c r="H47" s="72"/>
      <c r="I47" s="72"/>
      <c r="K47" s="73">
        <f t="shared" ref="K47:K54" si="19">C16-C47</f>
        <v>4125135</v>
      </c>
    </row>
    <row r="48" spans="1:18" hidden="1" x14ac:dyDescent="0.25">
      <c r="A48" s="69"/>
      <c r="B48" s="10" t="s">
        <v>10</v>
      </c>
      <c r="C48" s="74"/>
      <c r="D48" s="74"/>
      <c r="E48" s="74"/>
      <c r="F48" s="74"/>
      <c r="G48" s="74"/>
      <c r="H48" s="75"/>
      <c r="I48" s="75"/>
      <c r="K48" s="73">
        <f t="shared" si="19"/>
        <v>3933815</v>
      </c>
    </row>
    <row r="49" spans="1:11" hidden="1" x14ac:dyDescent="0.25">
      <c r="A49" s="69"/>
      <c r="B49" s="10" t="s">
        <v>11</v>
      </c>
      <c r="C49" s="74"/>
      <c r="D49" s="74"/>
      <c r="E49" s="74"/>
      <c r="F49" s="74"/>
      <c r="G49" s="74"/>
      <c r="H49" s="75"/>
      <c r="I49" s="75"/>
      <c r="K49" s="73">
        <f t="shared" si="19"/>
        <v>38303</v>
      </c>
    </row>
    <row r="50" spans="1:11" hidden="1" x14ac:dyDescent="0.25">
      <c r="A50" s="69"/>
      <c r="B50" s="10" t="s">
        <v>12</v>
      </c>
      <c r="C50" s="74"/>
      <c r="D50" s="74"/>
      <c r="E50" s="74"/>
      <c r="F50" s="74"/>
      <c r="G50" s="74"/>
      <c r="H50" s="75"/>
      <c r="I50" s="75"/>
      <c r="K50" s="73">
        <f t="shared" si="19"/>
        <v>38190</v>
      </c>
    </row>
    <row r="51" spans="1:11" hidden="1" x14ac:dyDescent="0.25">
      <c r="A51" s="69"/>
      <c r="B51" s="10" t="s">
        <v>13</v>
      </c>
      <c r="C51" s="76"/>
      <c r="D51" s="74"/>
      <c r="E51" s="74"/>
      <c r="F51" s="74"/>
      <c r="G51" s="74"/>
      <c r="H51" s="75"/>
      <c r="I51" s="75"/>
      <c r="K51" s="73">
        <f t="shared" si="19"/>
        <v>12869</v>
      </c>
    </row>
    <row r="52" spans="1:11" hidden="1" x14ac:dyDescent="0.25">
      <c r="A52" s="69"/>
      <c r="B52" s="10" t="s">
        <v>14</v>
      </c>
      <c r="C52" s="74"/>
      <c r="D52" s="74"/>
      <c r="E52" s="74"/>
      <c r="F52" s="74"/>
      <c r="G52" s="74"/>
      <c r="H52" s="75"/>
      <c r="I52" s="75"/>
      <c r="K52" s="73">
        <f t="shared" si="19"/>
        <v>0</v>
      </c>
    </row>
    <row r="53" spans="1:11" hidden="1" x14ac:dyDescent="0.25">
      <c r="A53" s="69"/>
      <c r="B53" s="10" t="s">
        <v>15</v>
      </c>
      <c r="C53" s="74"/>
      <c r="D53" s="74"/>
      <c r="E53" s="74"/>
      <c r="F53" s="74"/>
      <c r="G53" s="74"/>
      <c r="H53" s="75"/>
      <c r="I53" s="75"/>
      <c r="K53" s="73">
        <f t="shared" si="19"/>
        <v>101958</v>
      </c>
    </row>
    <row r="54" spans="1:11" hidden="1" x14ac:dyDescent="0.25">
      <c r="A54" s="69">
        <v>22</v>
      </c>
      <c r="B54" s="77" t="s">
        <v>16</v>
      </c>
      <c r="C54" s="71"/>
      <c r="D54" s="71"/>
      <c r="E54" s="71"/>
      <c r="F54" s="71"/>
      <c r="G54" s="71"/>
      <c r="H54" s="72"/>
      <c r="I54" s="72"/>
      <c r="K54" s="73">
        <f t="shared" si="19"/>
        <v>1420983</v>
      </c>
    </row>
    <row r="55" spans="1:11" hidden="1" x14ac:dyDescent="0.25">
      <c r="A55" s="69">
        <v>23</v>
      </c>
      <c r="B55" s="77" t="s">
        <v>31</v>
      </c>
      <c r="C55" s="71"/>
      <c r="D55" s="71"/>
      <c r="E55" s="71"/>
      <c r="F55" s="71"/>
      <c r="G55" s="71"/>
      <c r="H55" s="72"/>
      <c r="I55" s="72"/>
      <c r="K55" s="73" t="e">
        <f>#REF!-C55</f>
        <v>#REF!</v>
      </c>
    </row>
    <row r="56" spans="1:11" hidden="1" x14ac:dyDescent="0.25">
      <c r="A56" s="69">
        <v>24</v>
      </c>
      <c r="B56" s="77" t="s">
        <v>32</v>
      </c>
      <c r="C56" s="71"/>
      <c r="D56" s="71"/>
      <c r="E56" s="71"/>
      <c r="F56" s="71"/>
      <c r="G56" s="71"/>
      <c r="H56" s="72"/>
      <c r="I56" s="72"/>
      <c r="K56" s="73">
        <f>C25-C56</f>
        <v>522614</v>
      </c>
    </row>
    <row r="57" spans="1:11" hidden="1" x14ac:dyDescent="0.25">
      <c r="A57" s="78" t="s">
        <v>33</v>
      </c>
      <c r="B57" s="79" t="s">
        <v>34</v>
      </c>
      <c r="C57" s="80"/>
      <c r="D57" s="80"/>
      <c r="E57" s="80"/>
      <c r="F57" s="80"/>
      <c r="G57" s="80"/>
      <c r="H57" s="81"/>
      <c r="I57" s="81"/>
      <c r="K57" s="73" t="e">
        <f>#REF!-C57</f>
        <v>#REF!</v>
      </c>
    </row>
    <row r="58" spans="1:11" hidden="1" x14ac:dyDescent="0.25">
      <c r="A58" s="83">
        <v>2401210</v>
      </c>
      <c r="B58" s="84" t="s">
        <v>93</v>
      </c>
      <c r="C58" s="85"/>
      <c r="D58" s="85"/>
      <c r="E58" s="85"/>
      <c r="F58" s="85"/>
      <c r="G58" s="85"/>
      <c r="H58" s="75"/>
      <c r="I58" s="75"/>
      <c r="K58" s="73" t="e">
        <f>#REF!-C58</f>
        <v>#REF!</v>
      </c>
    </row>
    <row r="59" spans="1:11" hidden="1" x14ac:dyDescent="0.25">
      <c r="A59" s="83">
        <v>2401212</v>
      </c>
      <c r="B59" s="84" t="s">
        <v>94</v>
      </c>
      <c r="C59" s="85"/>
      <c r="D59" s="85"/>
      <c r="E59" s="85"/>
      <c r="F59" s="85"/>
      <c r="G59" s="85"/>
      <c r="H59" s="75"/>
      <c r="I59" s="75"/>
      <c r="K59" s="73" t="e">
        <f>#REF!-C59</f>
        <v>#REF!</v>
      </c>
    </row>
    <row r="60" spans="1:11" hidden="1" x14ac:dyDescent="0.25">
      <c r="A60" s="83">
        <v>2401222</v>
      </c>
      <c r="B60" s="84" t="s">
        <v>95</v>
      </c>
      <c r="C60" s="85"/>
      <c r="D60" s="85"/>
      <c r="E60" s="85"/>
      <c r="F60" s="85"/>
      <c r="G60" s="85"/>
      <c r="H60" s="75"/>
      <c r="I60" s="75"/>
      <c r="K60" s="73" t="e">
        <f>#REF!-C60</f>
        <v>#REF!</v>
      </c>
    </row>
    <row r="61" spans="1:11" hidden="1" x14ac:dyDescent="0.25">
      <c r="A61" s="83">
        <v>2401223</v>
      </c>
      <c r="B61" s="84" t="s">
        <v>96</v>
      </c>
      <c r="C61" s="85"/>
      <c r="D61" s="85"/>
      <c r="E61" s="85"/>
      <c r="F61" s="85"/>
      <c r="G61" s="85"/>
      <c r="H61" s="75"/>
      <c r="I61" s="75"/>
      <c r="K61" s="73" t="e">
        <f>#REF!-C61</f>
        <v>#REF!</v>
      </c>
    </row>
    <row r="62" spans="1:11" hidden="1" x14ac:dyDescent="0.25">
      <c r="A62" s="78" t="s">
        <v>55</v>
      </c>
      <c r="B62" s="79" t="s">
        <v>56</v>
      </c>
      <c r="C62" s="86"/>
      <c r="D62" s="86"/>
      <c r="E62" s="86"/>
      <c r="F62" s="86"/>
      <c r="G62" s="86"/>
      <c r="H62" s="72"/>
      <c r="I62" s="72"/>
      <c r="K62" s="73">
        <f>C26-C62</f>
        <v>519840</v>
      </c>
    </row>
    <row r="63" spans="1:11" hidden="1" x14ac:dyDescent="0.25">
      <c r="A63" s="83">
        <v>2403192</v>
      </c>
      <c r="B63" s="84" t="s">
        <v>97</v>
      </c>
      <c r="C63" s="85"/>
      <c r="D63" s="85"/>
      <c r="E63" s="85"/>
      <c r="F63" s="85"/>
      <c r="G63" s="85"/>
      <c r="H63" s="75"/>
      <c r="I63" s="75"/>
      <c r="K63" s="73">
        <f>C27-C63</f>
        <v>519840</v>
      </c>
    </row>
    <row r="64" spans="1:11" hidden="1" x14ac:dyDescent="0.25">
      <c r="A64" s="83">
        <v>2403193</v>
      </c>
      <c r="B64" s="84" t="s">
        <v>98</v>
      </c>
      <c r="C64" s="85"/>
      <c r="D64" s="85"/>
      <c r="E64" s="85"/>
      <c r="F64" s="85"/>
      <c r="G64" s="85"/>
      <c r="H64" s="75"/>
      <c r="I64" s="75"/>
      <c r="K64" s="73" t="e">
        <f>#REF!-C64</f>
        <v>#REF!</v>
      </c>
    </row>
    <row r="65" spans="1:11" hidden="1" x14ac:dyDescent="0.25">
      <c r="A65" s="83">
        <v>2403194</v>
      </c>
      <c r="B65" s="84" t="s">
        <v>99</v>
      </c>
      <c r="C65" s="85"/>
      <c r="D65" s="85"/>
      <c r="E65" s="85"/>
      <c r="F65" s="85"/>
      <c r="G65" s="85"/>
      <c r="H65" s="75"/>
      <c r="I65" s="75"/>
      <c r="K65" s="73" t="e">
        <f>#REF!-C65</f>
        <v>#REF!</v>
      </c>
    </row>
    <row r="66" spans="1:11" hidden="1" x14ac:dyDescent="0.25">
      <c r="A66" s="83">
        <v>2403195</v>
      </c>
      <c r="B66" s="89" t="s">
        <v>100</v>
      </c>
      <c r="C66" s="85"/>
      <c r="D66" s="85"/>
      <c r="E66" s="85"/>
      <c r="F66" s="85"/>
      <c r="G66" s="85"/>
      <c r="H66" s="75"/>
      <c r="I66" s="75"/>
      <c r="K66" s="73" t="e">
        <f>#REF!-C66</f>
        <v>#REF!</v>
      </c>
    </row>
    <row r="67" spans="1:11" hidden="1" x14ac:dyDescent="0.25">
      <c r="A67" s="83">
        <v>2403196</v>
      </c>
      <c r="B67" s="84" t="s">
        <v>101</v>
      </c>
      <c r="C67" s="85"/>
      <c r="D67" s="85"/>
      <c r="E67" s="85"/>
      <c r="F67" s="85"/>
      <c r="G67" s="85"/>
      <c r="H67" s="72"/>
      <c r="I67" s="72"/>
      <c r="K67" s="73" t="e">
        <f>#REF!-C67</f>
        <v>#REF!</v>
      </c>
    </row>
    <row r="68" spans="1:11" hidden="1" x14ac:dyDescent="0.25">
      <c r="A68" s="83" t="s">
        <v>109</v>
      </c>
      <c r="B68" s="84" t="s">
        <v>110</v>
      </c>
      <c r="C68" s="85"/>
      <c r="D68" s="85"/>
      <c r="E68" s="85"/>
      <c r="F68" s="85"/>
      <c r="G68" s="85"/>
      <c r="H68" s="72"/>
      <c r="I68" s="72"/>
      <c r="K68" s="73" t="e">
        <f>#REF!-C68</f>
        <v>#REF!</v>
      </c>
    </row>
    <row r="69" spans="1:11" hidden="1" x14ac:dyDescent="0.25">
      <c r="A69" s="69">
        <v>25</v>
      </c>
      <c r="B69" s="77" t="s">
        <v>70</v>
      </c>
      <c r="C69" s="86"/>
      <c r="D69" s="86"/>
      <c r="E69" s="86"/>
      <c r="F69" s="86"/>
      <c r="G69" s="86"/>
      <c r="H69" s="72"/>
      <c r="I69" s="72"/>
      <c r="K69" s="73" t="e">
        <f>#REF!-C69</f>
        <v>#REF!</v>
      </c>
    </row>
    <row r="70" spans="1:11" hidden="1" x14ac:dyDescent="0.25">
      <c r="A70" s="92">
        <v>29</v>
      </c>
      <c r="B70" s="93" t="s">
        <v>17</v>
      </c>
      <c r="C70" s="80"/>
      <c r="D70" s="80"/>
      <c r="E70" s="80"/>
      <c r="F70" s="80"/>
      <c r="G70" s="80"/>
      <c r="H70" s="72"/>
      <c r="I70" s="72"/>
      <c r="K70" s="73">
        <f>C31-C70</f>
        <v>130902</v>
      </c>
    </row>
    <row r="71" spans="1:11" hidden="1" x14ac:dyDescent="0.25">
      <c r="A71" s="94" t="s">
        <v>18</v>
      </c>
      <c r="B71" s="95" t="s">
        <v>19</v>
      </c>
      <c r="C71" s="85"/>
      <c r="D71" s="85"/>
      <c r="E71" s="85"/>
      <c r="F71" s="85"/>
      <c r="G71" s="85"/>
      <c r="H71" s="75"/>
      <c r="I71" s="75"/>
      <c r="K71" s="73" t="e">
        <f>#REF!-C71</f>
        <v>#REF!</v>
      </c>
    </row>
    <row r="72" spans="1:11" hidden="1" x14ac:dyDescent="0.25">
      <c r="A72" s="94" t="s">
        <v>20</v>
      </c>
      <c r="B72" s="95" t="s">
        <v>21</v>
      </c>
      <c r="C72" s="85"/>
      <c r="D72" s="85"/>
      <c r="E72" s="85"/>
      <c r="F72" s="85"/>
      <c r="G72" s="85"/>
      <c r="H72" s="75"/>
      <c r="I72" s="75"/>
      <c r="K72" s="73">
        <f>C32-C72</f>
        <v>81402</v>
      </c>
    </row>
    <row r="73" spans="1:11" hidden="1" x14ac:dyDescent="0.25">
      <c r="A73" s="83" t="s">
        <v>22</v>
      </c>
      <c r="B73" s="84" t="s">
        <v>23</v>
      </c>
      <c r="C73" s="85"/>
      <c r="D73" s="85"/>
      <c r="E73" s="85"/>
      <c r="F73" s="85"/>
      <c r="G73" s="85"/>
      <c r="H73" s="75"/>
      <c r="I73" s="75"/>
      <c r="K73" s="73">
        <f>C33-C73</f>
        <v>24712</v>
      </c>
    </row>
    <row r="74" spans="1:11" hidden="1" x14ac:dyDescent="0.25">
      <c r="A74" s="83" t="s">
        <v>24</v>
      </c>
      <c r="B74" s="84" t="s">
        <v>25</v>
      </c>
      <c r="C74" s="85"/>
      <c r="D74" s="85"/>
      <c r="E74" s="85"/>
      <c r="F74" s="85"/>
      <c r="G74" s="85"/>
      <c r="H74" s="75"/>
      <c r="I74" s="75"/>
      <c r="K74" s="73" t="e">
        <f>#REF!-C74</f>
        <v>#REF!</v>
      </c>
    </row>
    <row r="75" spans="1:11" hidden="1" x14ac:dyDescent="0.25">
      <c r="A75" s="83" t="s">
        <v>26</v>
      </c>
      <c r="B75" s="84" t="s">
        <v>27</v>
      </c>
      <c r="C75" s="85"/>
      <c r="D75" s="85"/>
      <c r="E75" s="85"/>
      <c r="F75" s="85"/>
      <c r="G75" s="85"/>
      <c r="H75" s="75"/>
      <c r="I75" s="75"/>
      <c r="K75" s="73">
        <f>C35-C75</f>
        <v>8882</v>
      </c>
    </row>
    <row r="76" spans="1:11" hidden="1" x14ac:dyDescent="0.25">
      <c r="A76" s="69">
        <v>31</v>
      </c>
      <c r="B76" s="77" t="s">
        <v>71</v>
      </c>
      <c r="C76" s="86"/>
      <c r="D76" s="86"/>
      <c r="E76" s="86"/>
      <c r="F76" s="86"/>
      <c r="G76" s="86"/>
      <c r="H76" s="72"/>
      <c r="I76" s="72"/>
      <c r="K76" s="73">
        <f>C36-C76</f>
        <v>958135</v>
      </c>
    </row>
    <row r="77" spans="1:11" hidden="1" x14ac:dyDescent="0.25">
      <c r="A77" s="83" t="s">
        <v>72</v>
      </c>
      <c r="B77" s="84" t="s">
        <v>73</v>
      </c>
      <c r="C77" s="85"/>
      <c r="D77" s="85"/>
      <c r="E77" s="85"/>
      <c r="F77" s="85"/>
      <c r="G77" s="85"/>
      <c r="H77" s="75"/>
      <c r="I77" s="75"/>
      <c r="K77" s="73">
        <f>C37-C77</f>
        <v>958135</v>
      </c>
    </row>
    <row r="78" spans="1:11" hidden="1" x14ac:dyDescent="0.25">
      <c r="A78" s="96">
        <v>33</v>
      </c>
      <c r="B78" s="97" t="s">
        <v>74</v>
      </c>
      <c r="C78" s="98"/>
      <c r="D78" s="98"/>
      <c r="E78" s="98"/>
      <c r="F78" s="98"/>
      <c r="G78" s="98"/>
      <c r="H78" s="99"/>
      <c r="I78" s="99"/>
      <c r="K78" s="73" t="e">
        <f>#REF!-C78</f>
        <v>#REF!</v>
      </c>
    </row>
    <row r="79" spans="1:11" hidden="1" x14ac:dyDescent="0.25">
      <c r="A79" s="100" t="s">
        <v>102</v>
      </c>
      <c r="B79" s="79" t="s">
        <v>34</v>
      </c>
      <c r="C79" s="80"/>
      <c r="D79" s="80"/>
      <c r="E79" s="80"/>
      <c r="F79" s="80"/>
      <c r="G79" s="80"/>
      <c r="H79" s="81"/>
      <c r="I79" s="81"/>
      <c r="K79" s="73" t="e">
        <f>#REF!-C79</f>
        <v>#REF!</v>
      </c>
    </row>
    <row r="80" spans="1:11" hidden="1" x14ac:dyDescent="0.25">
      <c r="A80" s="103">
        <v>3301001</v>
      </c>
      <c r="B80" s="84" t="s">
        <v>103</v>
      </c>
      <c r="C80" s="85"/>
      <c r="D80" s="85"/>
      <c r="E80" s="85"/>
      <c r="F80" s="85"/>
      <c r="G80" s="85"/>
      <c r="H80" s="75"/>
      <c r="I80" s="75"/>
      <c r="K80" s="73" t="e">
        <f>#REF!-C80</f>
        <v>#REF!</v>
      </c>
    </row>
    <row r="81" spans="1:11" hidden="1" x14ac:dyDescent="0.25">
      <c r="A81" s="92" t="s">
        <v>75</v>
      </c>
      <c r="B81" s="93" t="s">
        <v>56</v>
      </c>
      <c r="C81" s="86"/>
      <c r="D81" s="86"/>
      <c r="E81" s="86"/>
      <c r="F81" s="86"/>
      <c r="G81" s="86"/>
      <c r="H81" s="72"/>
      <c r="I81" s="72"/>
      <c r="K81" s="73" t="e">
        <f>#REF!-C81</f>
        <v>#REF!</v>
      </c>
    </row>
    <row r="82" spans="1:11" hidden="1" x14ac:dyDescent="0.25">
      <c r="A82" s="103">
        <v>3303005</v>
      </c>
      <c r="B82" s="84" t="s">
        <v>104</v>
      </c>
      <c r="C82" s="85"/>
      <c r="D82" s="85"/>
      <c r="E82" s="85"/>
      <c r="F82" s="85"/>
      <c r="G82" s="85"/>
      <c r="H82" s="75"/>
      <c r="I82" s="75"/>
      <c r="K82" s="73" t="e">
        <f>#REF!-C82</f>
        <v>#REF!</v>
      </c>
    </row>
    <row r="83" spans="1:11" hidden="1" x14ac:dyDescent="0.25">
      <c r="A83" s="103">
        <v>3303006</v>
      </c>
      <c r="B83" s="84" t="s">
        <v>103</v>
      </c>
      <c r="C83" s="85"/>
      <c r="D83" s="85"/>
      <c r="E83" s="85"/>
      <c r="F83" s="85"/>
      <c r="G83" s="85"/>
      <c r="H83" s="75"/>
      <c r="I83" s="75"/>
      <c r="K83" s="73" t="e">
        <f>#REF!-C83</f>
        <v>#REF!</v>
      </c>
    </row>
    <row r="84" spans="1:11" hidden="1" x14ac:dyDescent="0.25">
      <c r="A84" s="103">
        <v>3303007</v>
      </c>
      <c r="B84" s="84" t="s">
        <v>105</v>
      </c>
      <c r="C84" s="85"/>
      <c r="D84" s="85"/>
      <c r="E84" s="85"/>
      <c r="F84" s="85"/>
      <c r="G84" s="85"/>
      <c r="H84" s="75"/>
      <c r="I84" s="75"/>
      <c r="K84" s="73" t="e">
        <f>#REF!-C84</f>
        <v>#REF!</v>
      </c>
    </row>
    <row r="85" spans="1:11" hidden="1" x14ac:dyDescent="0.25">
      <c r="A85" s="92">
        <v>34</v>
      </c>
      <c r="B85" s="93" t="s">
        <v>78</v>
      </c>
      <c r="C85" s="86"/>
      <c r="D85" s="86"/>
      <c r="E85" s="86"/>
      <c r="F85" s="86"/>
      <c r="G85" s="86"/>
      <c r="H85" s="75"/>
      <c r="I85" s="75"/>
      <c r="K85" s="73" t="e">
        <f>#REF!-C85</f>
        <v>#REF!</v>
      </c>
    </row>
    <row r="86" spans="1:11" hidden="1" x14ac:dyDescent="0.25">
      <c r="A86" s="103" t="s">
        <v>79</v>
      </c>
      <c r="B86" s="104" t="s">
        <v>80</v>
      </c>
      <c r="C86" s="85"/>
      <c r="D86" s="85"/>
      <c r="E86" s="85"/>
      <c r="F86" s="85"/>
      <c r="G86" s="85"/>
      <c r="H86" s="75"/>
      <c r="I86" s="75"/>
      <c r="K86" s="73" t="e">
        <f>#REF!-C86</f>
        <v>#REF!</v>
      </c>
    </row>
    <row r="87" spans="1:11" hidden="1" x14ac:dyDescent="0.25">
      <c r="A87" s="105">
        <v>35</v>
      </c>
      <c r="B87" s="106" t="s">
        <v>28</v>
      </c>
      <c r="C87" s="107"/>
      <c r="D87" s="107"/>
      <c r="E87" s="107"/>
      <c r="F87" s="107"/>
      <c r="G87" s="107"/>
      <c r="H87" s="75"/>
      <c r="I87" s="75"/>
      <c r="K87" s="73" t="e">
        <f>#REF!-C87</f>
        <v>#REF!</v>
      </c>
    </row>
    <row r="88" spans="1:11" hidden="1" x14ac:dyDescent="0.25">
      <c r="A88" s="108"/>
      <c r="B88" s="109" t="s">
        <v>29</v>
      </c>
      <c r="C88" s="110"/>
      <c r="D88" s="110"/>
      <c r="E88" s="110"/>
      <c r="F88" s="110"/>
      <c r="G88" s="110"/>
      <c r="H88" s="111"/>
      <c r="I88" s="111"/>
    </row>
    <row r="89" spans="1:11" hidden="1" x14ac:dyDescent="0.25"/>
    <row r="90" spans="1:11" hidden="1" x14ac:dyDescent="0.25"/>
    <row r="91" spans="1:11" x14ac:dyDescent="0.25">
      <c r="C91" s="28"/>
    </row>
    <row r="92" spans="1:11" x14ac:dyDescent="0.25">
      <c r="C92" s="28"/>
    </row>
    <row r="93" spans="1:11" x14ac:dyDescent="0.25">
      <c r="C93" s="73"/>
    </row>
    <row r="96" spans="1:11" x14ac:dyDescent="0.25">
      <c r="C96" s="140"/>
    </row>
  </sheetData>
  <mergeCells count="2">
    <mergeCell ref="A2:I2"/>
    <mergeCell ref="A3:I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2:X64"/>
  <sheetViews>
    <sheetView showGridLines="0" zoomScale="90" zoomScaleNormal="90" workbookViewId="0">
      <selection activeCell="A2" sqref="A2:H2"/>
    </sheetView>
  </sheetViews>
  <sheetFormatPr baseColWidth="10" defaultRowHeight="15" x14ac:dyDescent="0.25"/>
  <cols>
    <col min="1" max="1" width="43.42578125" customWidth="1"/>
    <col min="2" max="2" width="15" customWidth="1"/>
    <col min="3" max="3" width="14.7109375" customWidth="1"/>
    <col min="4" max="4" width="15" customWidth="1"/>
    <col min="5" max="5" width="14.5703125" customWidth="1"/>
    <col min="6" max="6" width="15.7109375" customWidth="1"/>
    <col min="7" max="7" width="14.5703125" customWidth="1"/>
    <col min="8" max="8" width="14.140625" customWidth="1"/>
    <col min="10" max="11" width="11.42578125" hidden="1" customWidth="1"/>
    <col min="12" max="12" width="13.5703125" hidden="1" customWidth="1"/>
    <col min="13" max="14" width="11.42578125" hidden="1" customWidth="1"/>
    <col min="15" max="15" width="12.28515625" hidden="1" customWidth="1"/>
    <col min="16" max="16" width="11.42578125" hidden="1" customWidth="1"/>
    <col min="17" max="17" width="11.42578125" customWidth="1"/>
    <col min="18" max="19" width="11.42578125" hidden="1" customWidth="1"/>
    <col min="20" max="21" width="0" hidden="1" customWidth="1"/>
  </cols>
  <sheetData>
    <row r="2" spans="1:24" ht="14.25" customHeight="1" x14ac:dyDescent="0.25">
      <c r="A2" s="233" t="s">
        <v>136</v>
      </c>
      <c r="B2" s="233"/>
      <c r="C2" s="233"/>
      <c r="D2" s="233"/>
      <c r="E2" s="233"/>
      <c r="F2" s="233"/>
      <c r="G2" s="233"/>
      <c r="H2" s="233"/>
    </row>
    <row r="3" spans="1:24" ht="14.25" customHeight="1" x14ac:dyDescent="0.25">
      <c r="A3" s="232" t="s">
        <v>340</v>
      </c>
      <c r="B3" s="232"/>
      <c r="C3" s="232"/>
      <c r="D3" s="232"/>
      <c r="E3" s="232"/>
      <c r="F3" s="232"/>
      <c r="G3" s="232"/>
      <c r="H3" s="232"/>
    </row>
    <row r="4" spans="1:24" ht="14.25" customHeight="1" x14ac:dyDescent="0.25">
      <c r="B4" s="28"/>
      <c r="J4" s="230" t="s">
        <v>137</v>
      </c>
      <c r="K4" s="237" t="s">
        <v>138</v>
      </c>
      <c r="L4" s="237"/>
      <c r="M4" s="238"/>
      <c r="N4" s="239" t="s">
        <v>29</v>
      </c>
      <c r="O4" s="240"/>
      <c r="P4" s="241"/>
    </row>
    <row r="5" spans="1:24" ht="25.5" x14ac:dyDescent="0.25">
      <c r="A5" s="141" t="s">
        <v>139</v>
      </c>
      <c r="B5" s="141" t="s">
        <v>179</v>
      </c>
      <c r="C5" s="141" t="s">
        <v>3</v>
      </c>
      <c r="D5" s="141" t="s">
        <v>4</v>
      </c>
      <c r="E5" s="141" t="s">
        <v>5</v>
      </c>
      <c r="F5" s="141" t="s">
        <v>6</v>
      </c>
      <c r="G5" s="141" t="s">
        <v>7</v>
      </c>
      <c r="H5" s="141" t="s">
        <v>8</v>
      </c>
      <c r="J5" s="230" t="s">
        <v>140</v>
      </c>
      <c r="K5" s="230" t="s">
        <v>141</v>
      </c>
      <c r="L5" s="230" t="s">
        <v>3</v>
      </c>
      <c r="M5" s="230" t="s">
        <v>142</v>
      </c>
      <c r="N5" s="142" t="s">
        <v>141</v>
      </c>
      <c r="O5" s="142" t="s">
        <v>3</v>
      </c>
      <c r="P5" s="142" t="s">
        <v>142</v>
      </c>
    </row>
    <row r="6" spans="1:24" ht="14.25" customHeight="1" x14ac:dyDescent="0.25">
      <c r="A6" s="143" t="s">
        <v>143</v>
      </c>
      <c r="B6" s="144">
        <f>SUM(B7:B14)</f>
        <v>2334908</v>
      </c>
      <c r="C6" s="144">
        <f>SUM(C7:C14)</f>
        <v>177261</v>
      </c>
      <c r="D6" s="144">
        <f>B6-C6</f>
        <v>2157647</v>
      </c>
      <c r="E6" s="144">
        <f>SUM(E7:E14)</f>
        <v>50387</v>
      </c>
      <c r="F6" s="144">
        <f>C6-E6</f>
        <v>126874</v>
      </c>
      <c r="G6" s="187">
        <f>+C6/B6</f>
        <v>7.5917766353106847E-2</v>
      </c>
      <c r="H6" s="187">
        <f>+E6/B6</f>
        <v>2.1579865245225937E-2</v>
      </c>
      <c r="J6" s="41"/>
      <c r="K6" s="41"/>
      <c r="L6" s="41"/>
      <c r="M6" s="41"/>
      <c r="N6" s="41"/>
      <c r="O6" s="41"/>
      <c r="P6" s="41"/>
      <c r="Q6" s="28"/>
      <c r="R6" s="28">
        <f>B6-C6</f>
        <v>2157647</v>
      </c>
      <c r="S6" s="28">
        <f>D6-R6</f>
        <v>0</v>
      </c>
      <c r="T6" s="28">
        <f>C6-E6</f>
        <v>126874</v>
      </c>
      <c r="U6" s="28">
        <f>F6-T6</f>
        <v>0</v>
      </c>
      <c r="V6" s="28"/>
      <c r="W6" s="28"/>
      <c r="X6" s="28"/>
    </row>
    <row r="7" spans="1:24" ht="14.25" customHeight="1" x14ac:dyDescent="0.25">
      <c r="A7" s="51" t="s">
        <v>144</v>
      </c>
      <c r="B7" s="145">
        <v>300000</v>
      </c>
      <c r="C7" s="145">
        <v>21460</v>
      </c>
      <c r="D7" s="145">
        <f>B7-C7</f>
        <v>278540</v>
      </c>
      <c r="E7" s="145">
        <v>1000</v>
      </c>
      <c r="F7" s="145">
        <f t="shared" ref="F7:F52" si="0">C7-E7</f>
        <v>20460</v>
      </c>
      <c r="G7" s="37">
        <f t="shared" ref="G7:G53" si="1">+C7/B7</f>
        <v>7.1533333333333338E-2</v>
      </c>
      <c r="H7" s="37">
        <f t="shared" ref="H7:H53" si="2">+E7/B7</f>
        <v>3.3333333333333335E-3</v>
      </c>
      <c r="J7" s="41"/>
      <c r="K7" s="41"/>
      <c r="L7" s="41"/>
      <c r="M7" s="41"/>
      <c r="N7" s="41"/>
      <c r="O7" s="41"/>
      <c r="P7" s="41"/>
      <c r="R7" s="28"/>
      <c r="S7" s="28"/>
      <c r="T7" s="28"/>
      <c r="U7" s="28"/>
      <c r="V7" s="28"/>
      <c r="W7" s="28"/>
      <c r="X7" s="28"/>
    </row>
    <row r="8" spans="1:24" ht="14.25" customHeight="1" x14ac:dyDescent="0.25">
      <c r="A8" s="51" t="s">
        <v>145</v>
      </c>
      <c r="B8" s="145">
        <v>192000</v>
      </c>
      <c r="C8" s="145">
        <v>0</v>
      </c>
      <c r="D8" s="145">
        <f>B8-C8</f>
        <v>192000</v>
      </c>
      <c r="E8" s="145">
        <v>0</v>
      </c>
      <c r="F8" s="145">
        <f t="shared" si="0"/>
        <v>0</v>
      </c>
      <c r="G8" s="37">
        <f t="shared" si="1"/>
        <v>0</v>
      </c>
      <c r="H8" s="37">
        <f t="shared" si="2"/>
        <v>0</v>
      </c>
      <c r="J8" s="41"/>
      <c r="K8" s="41"/>
      <c r="L8" s="41"/>
      <c r="M8" s="41"/>
      <c r="N8" s="41"/>
      <c r="O8" s="41"/>
      <c r="P8" s="41"/>
      <c r="Q8" s="53"/>
      <c r="R8" s="28">
        <f t="shared" ref="R8:R37" si="3">B8-C8</f>
        <v>192000</v>
      </c>
      <c r="S8" s="28">
        <f t="shared" ref="S8:S37" si="4">D8-R8</f>
        <v>0</v>
      </c>
      <c r="T8" s="28">
        <f t="shared" ref="T8:T37" si="5">C8-E8</f>
        <v>0</v>
      </c>
      <c r="U8" s="28">
        <f t="shared" ref="U8:U37" si="6">F8-T8</f>
        <v>0</v>
      </c>
      <c r="V8" s="28"/>
      <c r="W8" s="28"/>
      <c r="X8" s="28"/>
    </row>
    <row r="9" spans="1:24" ht="14.25" customHeight="1" x14ac:dyDescent="0.25">
      <c r="A9" s="51" t="s">
        <v>146</v>
      </c>
      <c r="B9" s="145">
        <v>119000</v>
      </c>
      <c r="C9" s="145">
        <v>0</v>
      </c>
      <c r="D9" s="145">
        <f t="shared" ref="D9:D52" si="7">B9-C9</f>
        <v>119000</v>
      </c>
      <c r="E9" s="145">
        <v>0</v>
      </c>
      <c r="F9" s="145">
        <f t="shared" si="0"/>
        <v>0</v>
      </c>
      <c r="G9" s="37">
        <f t="shared" si="1"/>
        <v>0</v>
      </c>
      <c r="H9" s="37">
        <f t="shared" si="2"/>
        <v>0</v>
      </c>
      <c r="J9" s="41"/>
      <c r="K9" s="41"/>
      <c r="L9" s="41"/>
      <c r="M9" s="41"/>
      <c r="N9" s="41"/>
      <c r="O9" s="41"/>
      <c r="P9" s="41"/>
      <c r="Q9" s="53"/>
      <c r="R9" s="28"/>
      <c r="S9" s="28"/>
      <c r="T9" s="28"/>
      <c r="U9" s="28"/>
      <c r="V9" s="28"/>
      <c r="W9" s="28"/>
      <c r="X9" s="28"/>
    </row>
    <row r="10" spans="1:24" ht="14.25" customHeight="1" x14ac:dyDescent="0.25">
      <c r="A10" s="146" t="s">
        <v>178</v>
      </c>
      <c r="B10" s="147">
        <v>592817</v>
      </c>
      <c r="C10" s="147">
        <v>0</v>
      </c>
      <c r="D10" s="145">
        <f t="shared" si="7"/>
        <v>592817</v>
      </c>
      <c r="E10" s="147">
        <v>0</v>
      </c>
      <c r="F10" s="147">
        <f t="shared" si="0"/>
        <v>0</v>
      </c>
      <c r="G10" s="199">
        <f t="shared" si="1"/>
        <v>0</v>
      </c>
      <c r="H10" s="199">
        <f t="shared" si="2"/>
        <v>0</v>
      </c>
      <c r="J10" s="41"/>
      <c r="K10" s="41"/>
      <c r="L10" s="41"/>
      <c r="M10" s="41"/>
      <c r="N10" s="41"/>
      <c r="O10" s="41"/>
      <c r="P10" s="41"/>
      <c r="R10" s="28"/>
      <c r="S10" s="28"/>
      <c r="T10" s="28">
        <f t="shared" si="5"/>
        <v>0</v>
      </c>
      <c r="U10" s="28">
        <f t="shared" si="6"/>
        <v>0</v>
      </c>
      <c r="V10" s="28"/>
      <c r="W10" s="28"/>
      <c r="X10" s="28"/>
    </row>
    <row r="11" spans="1:24" ht="14.25" customHeight="1" x14ac:dyDescent="0.25">
      <c r="A11" s="146" t="s">
        <v>190</v>
      </c>
      <c r="B11" s="147">
        <v>5000</v>
      </c>
      <c r="C11" s="147">
        <v>0</v>
      </c>
      <c r="D11" s="145">
        <f t="shared" si="7"/>
        <v>5000</v>
      </c>
      <c r="E11" s="147">
        <v>0</v>
      </c>
      <c r="F11" s="147">
        <f t="shared" si="0"/>
        <v>0</v>
      </c>
      <c r="G11" s="199">
        <f t="shared" si="1"/>
        <v>0</v>
      </c>
      <c r="H11" s="199">
        <f t="shared" si="2"/>
        <v>0</v>
      </c>
      <c r="J11" s="41"/>
      <c r="K11" s="41"/>
      <c r="L11" s="41"/>
      <c r="M11" s="41"/>
      <c r="N11" s="41"/>
      <c r="O11" s="41"/>
      <c r="P11" s="41"/>
      <c r="R11" s="28"/>
      <c r="S11" s="28"/>
      <c r="T11" s="28"/>
      <c r="U11" s="28"/>
      <c r="V11" s="28"/>
      <c r="W11" s="28"/>
      <c r="X11" s="28"/>
    </row>
    <row r="12" spans="1:24" ht="14.25" customHeight="1" x14ac:dyDescent="0.25">
      <c r="A12" s="51" t="s">
        <v>163</v>
      </c>
      <c r="B12" s="145">
        <v>197187</v>
      </c>
      <c r="C12" s="145">
        <v>42204</v>
      </c>
      <c r="D12" s="145">
        <f>B12-C12</f>
        <v>154983</v>
      </c>
      <c r="E12" s="145">
        <v>42204</v>
      </c>
      <c r="F12" s="145">
        <f>C12-E12</f>
        <v>0</v>
      </c>
      <c r="G12" s="37">
        <f>+C12/B12</f>
        <v>0.2140303366854813</v>
      </c>
      <c r="H12" s="37">
        <f>+E12/B12</f>
        <v>0.2140303366854813</v>
      </c>
      <c r="J12" s="41"/>
      <c r="K12" s="41"/>
      <c r="L12" s="41"/>
      <c r="M12" s="41"/>
      <c r="N12" s="41"/>
      <c r="O12" s="41"/>
      <c r="P12" s="41"/>
      <c r="R12" s="28"/>
      <c r="S12" s="28"/>
      <c r="T12" s="28"/>
      <c r="U12" s="28"/>
      <c r="V12" s="28"/>
      <c r="W12" s="28"/>
      <c r="X12" s="28"/>
    </row>
    <row r="13" spans="1:24" ht="14.25" customHeight="1" x14ac:dyDescent="0.25">
      <c r="A13" s="51" t="s">
        <v>331</v>
      </c>
      <c r="B13" s="145">
        <v>244490</v>
      </c>
      <c r="C13" s="145">
        <v>7183</v>
      </c>
      <c r="D13" s="145">
        <f>B13-C13</f>
        <v>237307</v>
      </c>
      <c r="E13" s="145">
        <v>7183</v>
      </c>
      <c r="F13" s="145">
        <f>C13-E13</f>
        <v>0</v>
      </c>
      <c r="G13" s="37">
        <f>+C13/B13</f>
        <v>2.9379524724937624E-2</v>
      </c>
      <c r="H13" s="37">
        <f>+E13/B13</f>
        <v>2.9379524724937624E-2</v>
      </c>
      <c r="J13" s="41"/>
      <c r="K13" s="41"/>
      <c r="L13" s="41"/>
      <c r="M13" s="41"/>
      <c r="N13" s="41"/>
      <c r="O13" s="41"/>
      <c r="P13" s="41"/>
      <c r="R13" s="28"/>
      <c r="S13" s="28"/>
      <c r="T13" s="28"/>
      <c r="U13" s="28"/>
      <c r="V13" s="28"/>
      <c r="W13" s="28"/>
      <c r="X13" s="28"/>
    </row>
    <row r="14" spans="1:24" ht="14.25" customHeight="1" x14ac:dyDescent="0.25">
      <c r="A14" s="51" t="s">
        <v>148</v>
      </c>
      <c r="B14" s="145">
        <v>684414</v>
      </c>
      <c r="C14" s="145">
        <v>106414</v>
      </c>
      <c r="D14" s="145">
        <f t="shared" si="7"/>
        <v>578000</v>
      </c>
      <c r="E14" s="145">
        <v>0</v>
      </c>
      <c r="F14" s="145">
        <f t="shared" si="0"/>
        <v>106414</v>
      </c>
      <c r="G14" s="37">
        <f t="shared" si="1"/>
        <v>0.1554819159163898</v>
      </c>
      <c r="H14" s="37">
        <f t="shared" si="2"/>
        <v>0</v>
      </c>
      <c r="J14" s="41"/>
      <c r="K14" s="41"/>
      <c r="L14" s="41"/>
      <c r="M14" s="41"/>
      <c r="N14" s="41"/>
      <c r="O14" s="41"/>
      <c r="P14" s="41"/>
      <c r="R14" s="28"/>
      <c r="S14" s="28"/>
      <c r="T14" s="28"/>
      <c r="U14" s="28"/>
      <c r="V14" s="28"/>
      <c r="W14" s="28"/>
      <c r="X14" s="28"/>
    </row>
    <row r="15" spans="1:24" ht="14.25" customHeight="1" x14ac:dyDescent="0.25">
      <c r="A15" s="143" t="s">
        <v>149</v>
      </c>
      <c r="B15" s="144">
        <f>SUM(B16:B19)</f>
        <v>787471</v>
      </c>
      <c r="C15" s="144">
        <f>SUM(C16:C19)</f>
        <v>50890</v>
      </c>
      <c r="D15" s="144">
        <f t="shared" si="7"/>
        <v>736581</v>
      </c>
      <c r="E15" s="144">
        <f>SUM(E16:E19)</f>
        <v>19213</v>
      </c>
      <c r="F15" s="144">
        <f t="shared" si="0"/>
        <v>31677</v>
      </c>
      <c r="G15" s="187">
        <f t="shared" si="1"/>
        <v>6.4624602048837354E-2</v>
      </c>
      <c r="H15" s="187">
        <f t="shared" si="2"/>
        <v>2.4398358796704895E-2</v>
      </c>
      <c r="J15" s="41"/>
      <c r="K15" s="41"/>
      <c r="L15" s="41"/>
      <c r="M15" s="41"/>
      <c r="N15" s="41"/>
      <c r="O15" s="41"/>
      <c r="P15" s="41"/>
      <c r="R15" s="28">
        <f t="shared" si="3"/>
        <v>736581</v>
      </c>
      <c r="S15" s="28">
        <f t="shared" si="4"/>
        <v>0</v>
      </c>
      <c r="T15" s="28">
        <f t="shared" si="5"/>
        <v>31677</v>
      </c>
      <c r="U15" s="28">
        <f t="shared" si="6"/>
        <v>0</v>
      </c>
      <c r="V15" s="28"/>
      <c r="W15" s="28"/>
      <c r="X15" s="28"/>
    </row>
    <row r="16" spans="1:24" ht="14.25" customHeight="1" x14ac:dyDescent="0.25">
      <c r="A16" s="51" t="s">
        <v>150</v>
      </c>
      <c r="B16" s="145">
        <v>500</v>
      </c>
      <c r="C16" s="145">
        <v>13</v>
      </c>
      <c r="D16" s="145">
        <f t="shared" si="7"/>
        <v>487</v>
      </c>
      <c r="E16" s="145">
        <v>0</v>
      </c>
      <c r="F16" s="145">
        <f t="shared" si="0"/>
        <v>13</v>
      </c>
      <c r="G16" s="37">
        <f t="shared" si="1"/>
        <v>2.5999999999999999E-2</v>
      </c>
      <c r="H16" s="37">
        <f t="shared" si="2"/>
        <v>0</v>
      </c>
      <c r="J16" s="41"/>
      <c r="K16" s="41"/>
      <c r="L16" s="41"/>
      <c r="M16" s="41"/>
      <c r="N16" s="41"/>
      <c r="O16" s="41"/>
      <c r="P16" s="41"/>
      <c r="R16" s="28">
        <f t="shared" si="3"/>
        <v>487</v>
      </c>
      <c r="S16" s="28">
        <f t="shared" si="4"/>
        <v>0</v>
      </c>
      <c r="T16" s="28">
        <f t="shared" si="5"/>
        <v>13</v>
      </c>
      <c r="U16" s="28">
        <f t="shared" si="6"/>
        <v>0</v>
      </c>
      <c r="V16" s="28"/>
      <c r="W16" s="28"/>
      <c r="X16" s="28"/>
    </row>
    <row r="17" spans="1:24" ht="14.25" customHeight="1" x14ac:dyDescent="0.25">
      <c r="A17" s="51" t="s">
        <v>151</v>
      </c>
      <c r="B17" s="145">
        <v>174384</v>
      </c>
      <c r="C17" s="145">
        <v>47841</v>
      </c>
      <c r="D17" s="145">
        <f t="shared" si="7"/>
        <v>126543</v>
      </c>
      <c r="E17" s="145">
        <v>19006</v>
      </c>
      <c r="F17" s="145">
        <f t="shared" si="0"/>
        <v>28835</v>
      </c>
      <c r="G17" s="37">
        <f t="shared" si="1"/>
        <v>0.27434282961739609</v>
      </c>
      <c r="H17" s="37">
        <f t="shared" si="2"/>
        <v>0.10898935682172677</v>
      </c>
      <c r="J17" s="41"/>
      <c r="K17" s="41"/>
      <c r="L17" s="41"/>
      <c r="M17" s="41"/>
      <c r="N17" s="41"/>
      <c r="O17" s="41"/>
      <c r="P17" s="41"/>
      <c r="R17" s="28">
        <f t="shared" si="3"/>
        <v>126543</v>
      </c>
      <c r="S17" s="28">
        <f t="shared" si="4"/>
        <v>0</v>
      </c>
      <c r="T17" s="28">
        <f t="shared" si="5"/>
        <v>28835</v>
      </c>
      <c r="U17" s="28">
        <f t="shared" si="6"/>
        <v>0</v>
      </c>
      <c r="V17" s="28"/>
      <c r="W17" s="28"/>
      <c r="X17" s="28"/>
    </row>
    <row r="18" spans="1:24" ht="14.25" customHeight="1" x14ac:dyDescent="0.25">
      <c r="A18" s="51" t="s">
        <v>152</v>
      </c>
      <c r="B18" s="145">
        <v>183655</v>
      </c>
      <c r="C18" s="145">
        <v>97</v>
      </c>
      <c r="D18" s="145">
        <f t="shared" si="7"/>
        <v>183558</v>
      </c>
      <c r="E18" s="145">
        <v>89</v>
      </c>
      <c r="F18" s="145">
        <f t="shared" si="0"/>
        <v>8</v>
      </c>
      <c r="G18" s="37">
        <f t="shared" si="1"/>
        <v>5.2816422095777412E-4</v>
      </c>
      <c r="H18" s="37">
        <f t="shared" si="2"/>
        <v>4.8460428520867934E-4</v>
      </c>
      <c r="J18" s="41"/>
      <c r="K18" s="41"/>
      <c r="L18" s="41"/>
      <c r="M18" s="41"/>
      <c r="N18" s="41"/>
      <c r="O18" s="41"/>
      <c r="P18" s="41"/>
      <c r="R18" s="28">
        <f t="shared" si="3"/>
        <v>183558</v>
      </c>
      <c r="S18" s="28">
        <f t="shared" si="4"/>
        <v>0</v>
      </c>
      <c r="T18" s="28">
        <f t="shared" si="5"/>
        <v>8</v>
      </c>
      <c r="U18" s="28">
        <f t="shared" si="6"/>
        <v>0</v>
      </c>
      <c r="V18" s="28"/>
      <c r="W18" s="28"/>
      <c r="X18" s="28"/>
    </row>
    <row r="19" spans="1:24" ht="14.25" customHeight="1" x14ac:dyDescent="0.25">
      <c r="A19" s="51" t="s">
        <v>153</v>
      </c>
      <c r="B19" s="145">
        <v>428932</v>
      </c>
      <c r="C19" s="145">
        <v>2939</v>
      </c>
      <c r="D19" s="145">
        <f t="shared" si="7"/>
        <v>425993</v>
      </c>
      <c r="E19" s="145">
        <v>118</v>
      </c>
      <c r="F19" s="145">
        <f t="shared" si="0"/>
        <v>2821</v>
      </c>
      <c r="G19" s="37">
        <f t="shared" si="1"/>
        <v>6.8519019331735563E-3</v>
      </c>
      <c r="H19" s="37">
        <f t="shared" si="2"/>
        <v>2.751018809508267E-4</v>
      </c>
      <c r="J19" s="41"/>
      <c r="K19" s="41"/>
      <c r="L19" s="41"/>
      <c r="M19" s="41"/>
      <c r="N19" s="41"/>
      <c r="O19" s="41"/>
      <c r="P19" s="41"/>
      <c r="R19" s="28">
        <f t="shared" si="3"/>
        <v>425993</v>
      </c>
      <c r="S19" s="28">
        <f t="shared" si="4"/>
        <v>0</v>
      </c>
      <c r="T19" s="28">
        <f t="shared" si="5"/>
        <v>2821</v>
      </c>
      <c r="U19" s="28">
        <f t="shared" si="6"/>
        <v>0</v>
      </c>
      <c r="V19" s="28"/>
      <c r="W19" s="28"/>
      <c r="X19" s="28"/>
    </row>
    <row r="20" spans="1:24" ht="14.25" customHeight="1" x14ac:dyDescent="0.25">
      <c r="A20" s="143" t="s">
        <v>154</v>
      </c>
      <c r="B20" s="144">
        <f>SUM(B21:B26)</f>
        <v>4328888</v>
      </c>
      <c r="C20" s="144">
        <f>SUM(C21:C26)</f>
        <v>218276</v>
      </c>
      <c r="D20" s="144">
        <f t="shared" si="7"/>
        <v>4110612</v>
      </c>
      <c r="E20" s="144">
        <f>SUM(E21:E26)</f>
        <v>155024</v>
      </c>
      <c r="F20" s="144">
        <f t="shared" si="0"/>
        <v>63252</v>
      </c>
      <c r="G20" s="187">
        <f t="shared" si="1"/>
        <v>5.0423110969837981E-2</v>
      </c>
      <c r="H20" s="187">
        <f t="shared" si="2"/>
        <v>3.5811506326798012E-2</v>
      </c>
      <c r="J20" s="41"/>
      <c r="K20" s="41"/>
      <c r="L20" s="41"/>
      <c r="M20" s="41"/>
      <c r="N20" s="41"/>
      <c r="O20" s="41"/>
      <c r="P20" s="41"/>
      <c r="R20" s="28"/>
      <c r="S20" s="28"/>
      <c r="T20" s="28"/>
      <c r="U20" s="28"/>
      <c r="V20" s="28"/>
      <c r="W20" s="28"/>
      <c r="X20" s="28"/>
    </row>
    <row r="21" spans="1:24" ht="14.25" customHeight="1" x14ac:dyDescent="0.25">
      <c r="A21" s="51" t="s">
        <v>155</v>
      </c>
      <c r="B21" s="145">
        <v>2884688</v>
      </c>
      <c r="C21" s="145">
        <v>0</v>
      </c>
      <c r="D21" s="145">
        <f t="shared" si="7"/>
        <v>2884688</v>
      </c>
      <c r="E21" s="145">
        <v>0</v>
      </c>
      <c r="F21" s="145">
        <f t="shared" si="0"/>
        <v>0</v>
      </c>
      <c r="G21" s="37">
        <f t="shared" si="1"/>
        <v>0</v>
      </c>
      <c r="H21" s="37">
        <f t="shared" si="2"/>
        <v>0</v>
      </c>
      <c r="J21" s="41"/>
      <c r="K21" s="41"/>
      <c r="L21" s="41"/>
      <c r="M21" s="41"/>
      <c r="N21" s="41"/>
      <c r="O21" s="41"/>
      <c r="P21" s="41"/>
      <c r="R21" s="28">
        <f t="shared" si="3"/>
        <v>2884688</v>
      </c>
      <c r="S21" s="28">
        <f t="shared" si="4"/>
        <v>0</v>
      </c>
      <c r="T21" s="28">
        <f t="shared" si="5"/>
        <v>0</v>
      </c>
      <c r="U21" s="28">
        <f t="shared" si="6"/>
        <v>0</v>
      </c>
      <c r="V21" s="28"/>
      <c r="W21" s="28"/>
      <c r="X21" s="28"/>
    </row>
    <row r="22" spans="1:24" ht="14.25" customHeight="1" x14ac:dyDescent="0.25">
      <c r="A22" s="51" t="s">
        <v>156</v>
      </c>
      <c r="B22" s="145">
        <v>75000</v>
      </c>
      <c r="C22" s="145">
        <v>0</v>
      </c>
      <c r="D22" s="145">
        <f t="shared" si="7"/>
        <v>75000</v>
      </c>
      <c r="E22" s="145">
        <v>0</v>
      </c>
      <c r="F22" s="145">
        <f t="shared" si="0"/>
        <v>0</v>
      </c>
      <c r="G22" s="37">
        <f t="shared" si="1"/>
        <v>0</v>
      </c>
      <c r="H22" s="37">
        <f t="shared" si="2"/>
        <v>0</v>
      </c>
      <c r="J22" s="41"/>
      <c r="K22" s="41"/>
      <c r="L22" s="41"/>
      <c r="M22" s="41"/>
      <c r="N22" s="41"/>
      <c r="O22" s="41"/>
      <c r="P22" s="41"/>
      <c r="R22" s="28">
        <f t="shared" si="3"/>
        <v>75000</v>
      </c>
      <c r="S22" s="28">
        <f t="shared" si="4"/>
        <v>0</v>
      </c>
      <c r="T22" s="28">
        <f t="shared" si="5"/>
        <v>0</v>
      </c>
      <c r="U22" s="28">
        <f t="shared" si="6"/>
        <v>0</v>
      </c>
      <c r="V22" s="28"/>
      <c r="W22" s="28"/>
      <c r="X22" s="28"/>
    </row>
    <row r="23" spans="1:24" ht="14.25" customHeight="1" x14ac:dyDescent="0.25">
      <c r="A23" s="51" t="s">
        <v>157</v>
      </c>
      <c r="B23" s="145">
        <v>1000000</v>
      </c>
      <c r="C23" s="145">
        <v>217618</v>
      </c>
      <c r="D23" s="145">
        <f t="shared" si="7"/>
        <v>782382</v>
      </c>
      <c r="E23" s="145">
        <v>155001</v>
      </c>
      <c r="F23" s="145">
        <f t="shared" si="0"/>
        <v>62617</v>
      </c>
      <c r="G23" s="37">
        <f t="shared" si="1"/>
        <v>0.21761800000000001</v>
      </c>
      <c r="H23" s="37">
        <f t="shared" si="2"/>
        <v>0.155001</v>
      </c>
      <c r="I23" s="28"/>
      <c r="J23" s="41"/>
      <c r="K23" s="41"/>
      <c r="L23" s="41"/>
      <c r="M23" s="41"/>
      <c r="N23" s="41"/>
      <c r="O23" s="41"/>
      <c r="P23" s="41"/>
      <c r="R23" s="28">
        <f t="shared" si="3"/>
        <v>782382</v>
      </c>
      <c r="S23" s="28">
        <f t="shared" si="4"/>
        <v>0</v>
      </c>
      <c r="T23" s="28">
        <f t="shared" si="5"/>
        <v>62617</v>
      </c>
      <c r="U23" s="28">
        <f t="shared" si="6"/>
        <v>0</v>
      </c>
      <c r="V23" s="28"/>
      <c r="W23" s="28"/>
      <c r="X23" s="28"/>
    </row>
    <row r="24" spans="1:24" ht="14.25" customHeight="1" x14ac:dyDescent="0.25">
      <c r="A24" s="51" t="s">
        <v>158</v>
      </c>
      <c r="B24" s="145">
        <v>110000</v>
      </c>
      <c r="C24" s="145">
        <v>0</v>
      </c>
      <c r="D24" s="145">
        <f t="shared" si="7"/>
        <v>110000</v>
      </c>
      <c r="E24" s="145">
        <v>0</v>
      </c>
      <c r="F24" s="145">
        <f t="shared" si="0"/>
        <v>0</v>
      </c>
      <c r="G24" s="37">
        <f t="shared" si="1"/>
        <v>0</v>
      </c>
      <c r="H24" s="37">
        <f t="shared" si="2"/>
        <v>0</v>
      </c>
      <c r="J24" s="41"/>
      <c r="K24" s="41"/>
      <c r="L24" s="41"/>
      <c r="M24" s="41"/>
      <c r="N24" s="41"/>
      <c r="O24" s="41"/>
      <c r="P24" s="41"/>
      <c r="R24" s="28">
        <f t="shared" si="3"/>
        <v>110000</v>
      </c>
      <c r="S24" s="28">
        <f t="shared" si="4"/>
        <v>0</v>
      </c>
      <c r="T24" s="28">
        <f t="shared" si="5"/>
        <v>0</v>
      </c>
      <c r="U24" s="28">
        <f t="shared" si="6"/>
        <v>0</v>
      </c>
      <c r="V24" s="28"/>
      <c r="W24" s="28"/>
      <c r="X24" s="28"/>
    </row>
    <row r="25" spans="1:24" ht="14.25" customHeight="1" x14ac:dyDescent="0.25">
      <c r="A25" s="51" t="s">
        <v>159</v>
      </c>
      <c r="B25" s="145">
        <v>220000</v>
      </c>
      <c r="C25" s="145">
        <v>0</v>
      </c>
      <c r="D25" s="145">
        <f t="shared" si="7"/>
        <v>220000</v>
      </c>
      <c r="E25" s="145">
        <v>0</v>
      </c>
      <c r="F25" s="145">
        <f t="shared" si="0"/>
        <v>0</v>
      </c>
      <c r="G25" s="37">
        <f t="shared" si="1"/>
        <v>0</v>
      </c>
      <c r="H25" s="37">
        <f t="shared" si="2"/>
        <v>0</v>
      </c>
      <c r="J25" s="41"/>
      <c r="K25" s="41"/>
      <c r="L25" s="41"/>
      <c r="M25" s="41"/>
      <c r="N25" s="41"/>
      <c r="O25" s="41"/>
      <c r="P25" s="41"/>
      <c r="R25" s="28">
        <f t="shared" si="3"/>
        <v>220000</v>
      </c>
      <c r="S25" s="28">
        <f t="shared" si="4"/>
        <v>0</v>
      </c>
      <c r="T25" s="28">
        <f t="shared" si="5"/>
        <v>0</v>
      </c>
      <c r="U25" s="28">
        <f t="shared" si="6"/>
        <v>0</v>
      </c>
      <c r="V25" s="28"/>
      <c r="W25" s="28"/>
      <c r="X25" s="28"/>
    </row>
    <row r="26" spans="1:24" ht="14.25" customHeight="1" x14ac:dyDescent="0.25">
      <c r="A26" s="51" t="s">
        <v>160</v>
      </c>
      <c r="B26" s="145">
        <f>35000+4200</f>
        <v>39200</v>
      </c>
      <c r="C26" s="145">
        <v>658</v>
      </c>
      <c r="D26" s="145">
        <f t="shared" si="7"/>
        <v>38542</v>
      </c>
      <c r="E26" s="145">
        <v>23</v>
      </c>
      <c r="F26" s="145">
        <f t="shared" si="0"/>
        <v>635</v>
      </c>
      <c r="G26" s="37">
        <f t="shared" si="1"/>
        <v>1.6785714285714286E-2</v>
      </c>
      <c r="H26" s="37">
        <f t="shared" si="2"/>
        <v>5.8673469387755101E-4</v>
      </c>
      <c r="J26" s="41"/>
      <c r="K26" s="41"/>
      <c r="L26" s="41"/>
      <c r="M26" s="41"/>
      <c r="N26" s="41"/>
      <c r="O26" s="41"/>
      <c r="P26" s="41"/>
      <c r="R26" s="28">
        <f t="shared" si="3"/>
        <v>38542</v>
      </c>
      <c r="S26" s="28">
        <f t="shared" si="4"/>
        <v>0</v>
      </c>
      <c r="T26" s="28">
        <f t="shared" si="5"/>
        <v>635</v>
      </c>
      <c r="U26" s="28">
        <f t="shared" si="6"/>
        <v>0</v>
      </c>
      <c r="V26" s="28"/>
      <c r="W26" s="28"/>
      <c r="X26" s="28"/>
    </row>
    <row r="27" spans="1:24" ht="14.25" customHeight="1" x14ac:dyDescent="0.25">
      <c r="A27" s="143" t="s">
        <v>161</v>
      </c>
      <c r="B27" s="144">
        <f>SUM(B28:B28)</f>
        <v>225141</v>
      </c>
      <c r="C27" s="144">
        <f>SUM(C28:C28)</f>
        <v>615</v>
      </c>
      <c r="D27" s="144">
        <f t="shared" si="7"/>
        <v>224526</v>
      </c>
      <c r="E27" s="144">
        <f>SUM(E28:E28)</f>
        <v>0</v>
      </c>
      <c r="F27" s="144">
        <f t="shared" si="0"/>
        <v>615</v>
      </c>
      <c r="G27" s="187">
        <f t="shared" si="1"/>
        <v>2.7316215171825655E-3</v>
      </c>
      <c r="H27" s="187">
        <f t="shared" si="2"/>
        <v>0</v>
      </c>
      <c r="J27" s="41"/>
      <c r="K27" s="41"/>
      <c r="L27" s="41"/>
      <c r="M27" s="41"/>
      <c r="N27" s="41"/>
      <c r="O27" s="41"/>
      <c r="P27" s="41"/>
      <c r="R27" s="28">
        <f t="shared" si="3"/>
        <v>224526</v>
      </c>
      <c r="S27" s="28">
        <f t="shared" si="4"/>
        <v>0</v>
      </c>
      <c r="T27" s="28">
        <f t="shared" si="5"/>
        <v>615</v>
      </c>
      <c r="U27" s="28">
        <f t="shared" si="6"/>
        <v>0</v>
      </c>
      <c r="V27" s="28"/>
      <c r="W27" s="28"/>
      <c r="X27" s="28"/>
    </row>
    <row r="28" spans="1:24" ht="14.25" customHeight="1" x14ac:dyDescent="0.25">
      <c r="A28" s="51" t="s">
        <v>162</v>
      </c>
      <c r="B28" s="145">
        <v>225141</v>
      </c>
      <c r="C28" s="145">
        <v>615</v>
      </c>
      <c r="D28" s="145">
        <f t="shared" si="7"/>
        <v>224526</v>
      </c>
      <c r="E28" s="145">
        <v>0</v>
      </c>
      <c r="F28" s="145">
        <f t="shared" si="0"/>
        <v>615</v>
      </c>
      <c r="G28" s="37">
        <f t="shared" si="1"/>
        <v>2.7316215171825655E-3</v>
      </c>
      <c r="H28" s="37">
        <f t="shared" si="2"/>
        <v>0</v>
      </c>
      <c r="J28" s="41"/>
      <c r="K28" s="41"/>
      <c r="L28" s="41"/>
      <c r="M28" s="41"/>
      <c r="N28" s="41"/>
      <c r="O28" s="41"/>
      <c r="P28" s="41"/>
      <c r="R28" s="28"/>
      <c r="S28" s="28"/>
      <c r="T28" s="28"/>
      <c r="U28" s="28"/>
      <c r="V28" s="28"/>
      <c r="W28" s="28"/>
      <c r="X28" s="28"/>
    </row>
    <row r="29" spans="1:24" ht="14.25" customHeight="1" x14ac:dyDescent="0.25">
      <c r="A29" s="143" t="s">
        <v>164</v>
      </c>
      <c r="B29" s="144">
        <f>+B30</f>
        <v>575908</v>
      </c>
      <c r="C29" s="144">
        <f>+C30</f>
        <v>120108</v>
      </c>
      <c r="D29" s="144">
        <f t="shared" si="7"/>
        <v>455800</v>
      </c>
      <c r="E29" s="144">
        <f>+E30</f>
        <v>46328</v>
      </c>
      <c r="F29" s="144">
        <f t="shared" si="0"/>
        <v>73780</v>
      </c>
      <c r="G29" s="187">
        <f t="shared" si="1"/>
        <v>0.20855414406467701</v>
      </c>
      <c r="H29" s="187">
        <f t="shared" si="2"/>
        <v>8.0443404154830284E-2</v>
      </c>
      <c r="J29" s="41"/>
      <c r="K29" s="41"/>
      <c r="L29" s="41"/>
      <c r="M29" s="41"/>
      <c r="N29" s="41"/>
      <c r="O29" s="41"/>
      <c r="P29" s="41"/>
      <c r="R29" s="28">
        <f t="shared" si="3"/>
        <v>455800</v>
      </c>
      <c r="S29" s="28">
        <f t="shared" si="4"/>
        <v>0</v>
      </c>
      <c r="T29" s="28">
        <f t="shared" si="5"/>
        <v>73780</v>
      </c>
      <c r="U29" s="28">
        <f t="shared" si="6"/>
        <v>0</v>
      </c>
      <c r="V29" s="28"/>
      <c r="W29" s="28"/>
      <c r="X29" s="28"/>
    </row>
    <row r="30" spans="1:24" ht="14.25" customHeight="1" x14ac:dyDescent="0.25">
      <c r="A30" s="51" t="s">
        <v>165</v>
      </c>
      <c r="B30" s="145">
        <v>575908</v>
      </c>
      <c r="C30" s="145">
        <v>120108</v>
      </c>
      <c r="D30" s="145">
        <f t="shared" si="7"/>
        <v>455800</v>
      </c>
      <c r="E30" s="145">
        <v>46328</v>
      </c>
      <c r="F30" s="145">
        <f t="shared" si="0"/>
        <v>73780</v>
      </c>
      <c r="G30" s="37">
        <f t="shared" si="1"/>
        <v>0.20855414406467701</v>
      </c>
      <c r="H30" s="37">
        <f t="shared" si="2"/>
        <v>8.0443404154830284E-2</v>
      </c>
      <c r="J30" s="41"/>
      <c r="K30" s="41"/>
      <c r="L30" s="41"/>
      <c r="M30" s="41"/>
      <c r="N30" s="41"/>
      <c r="O30" s="41"/>
      <c r="P30" s="41"/>
      <c r="R30" s="28">
        <f t="shared" si="3"/>
        <v>455800</v>
      </c>
      <c r="S30" s="28">
        <f t="shared" si="4"/>
        <v>0</v>
      </c>
      <c r="T30" s="28">
        <f t="shared" si="5"/>
        <v>73780</v>
      </c>
      <c r="U30" s="28">
        <f t="shared" si="6"/>
        <v>0</v>
      </c>
      <c r="V30" s="28"/>
      <c r="W30" s="28"/>
      <c r="X30" s="28"/>
    </row>
    <row r="31" spans="1:24" ht="14.25" customHeight="1" x14ac:dyDescent="0.25">
      <c r="A31" s="143" t="s">
        <v>166</v>
      </c>
      <c r="B31" s="144">
        <f>SUM(B32:B38)</f>
        <v>1493031</v>
      </c>
      <c r="C31" s="144">
        <f>SUM(C32:C38)</f>
        <v>107682</v>
      </c>
      <c r="D31" s="144">
        <f t="shared" si="7"/>
        <v>1385349</v>
      </c>
      <c r="E31" s="144">
        <f>SUM(E32:E38)</f>
        <v>76495</v>
      </c>
      <c r="F31" s="144">
        <f t="shared" si="0"/>
        <v>31187</v>
      </c>
      <c r="G31" s="187">
        <f t="shared" si="1"/>
        <v>7.2123083847555738E-2</v>
      </c>
      <c r="H31" s="187">
        <f t="shared" si="2"/>
        <v>5.1234703097256522E-2</v>
      </c>
      <c r="J31" s="41"/>
      <c r="K31" s="41"/>
      <c r="L31" s="41"/>
      <c r="M31" s="41"/>
      <c r="N31" s="41"/>
      <c r="O31" s="41"/>
      <c r="P31" s="41"/>
      <c r="R31" s="28">
        <f t="shared" si="3"/>
        <v>1385349</v>
      </c>
      <c r="S31" s="28">
        <f t="shared" si="4"/>
        <v>0</v>
      </c>
      <c r="T31" s="28">
        <f t="shared" si="5"/>
        <v>31187</v>
      </c>
      <c r="U31" s="28">
        <f t="shared" si="6"/>
        <v>0</v>
      </c>
      <c r="V31" s="28"/>
      <c r="W31" s="28"/>
      <c r="X31" s="28"/>
    </row>
    <row r="32" spans="1:24" ht="14.25" customHeight="1" x14ac:dyDescent="0.25">
      <c r="A32" s="51" t="s">
        <v>167</v>
      </c>
      <c r="B32" s="145">
        <v>470288</v>
      </c>
      <c r="C32" s="145">
        <v>7442</v>
      </c>
      <c r="D32" s="145">
        <f t="shared" si="7"/>
        <v>462846</v>
      </c>
      <c r="E32" s="145">
        <v>4894</v>
      </c>
      <c r="F32" s="145">
        <f t="shared" si="0"/>
        <v>2548</v>
      </c>
      <c r="G32" s="37">
        <f t="shared" si="1"/>
        <v>1.5824345932705066E-2</v>
      </c>
      <c r="H32" s="37">
        <f t="shared" si="2"/>
        <v>1.0406389276358317E-2</v>
      </c>
      <c r="J32" s="41"/>
      <c r="K32" s="41"/>
      <c r="L32" s="41"/>
      <c r="M32" s="41"/>
      <c r="N32" s="41"/>
      <c r="O32" s="41"/>
      <c r="P32" s="41"/>
      <c r="R32" s="28">
        <f t="shared" si="3"/>
        <v>462846</v>
      </c>
      <c r="S32" s="28">
        <f t="shared" si="4"/>
        <v>0</v>
      </c>
      <c r="T32" s="28">
        <f t="shared" si="5"/>
        <v>2548</v>
      </c>
      <c r="U32" s="28">
        <f t="shared" si="6"/>
        <v>0</v>
      </c>
      <c r="V32" s="28"/>
      <c r="W32" s="28"/>
      <c r="X32" s="28"/>
    </row>
    <row r="33" spans="1:24" ht="14.25" customHeight="1" x14ac:dyDescent="0.25">
      <c r="A33" s="51" t="s">
        <v>168</v>
      </c>
      <c r="B33" s="145">
        <v>13868</v>
      </c>
      <c r="C33" s="145">
        <v>23</v>
      </c>
      <c r="D33" s="145">
        <f t="shared" si="7"/>
        <v>13845</v>
      </c>
      <c r="E33" s="145">
        <v>21</v>
      </c>
      <c r="F33" s="145">
        <f t="shared" si="0"/>
        <v>2</v>
      </c>
      <c r="G33" s="37">
        <f t="shared" si="1"/>
        <v>1.6584943755408134E-3</v>
      </c>
      <c r="H33" s="37">
        <f t="shared" si="2"/>
        <v>1.5142774733198732E-3</v>
      </c>
      <c r="J33" s="41"/>
      <c r="K33" s="41"/>
      <c r="L33" s="41"/>
      <c r="M33" s="41"/>
      <c r="N33" s="41"/>
      <c r="O33" s="41"/>
      <c r="P33" s="41"/>
      <c r="R33" s="28">
        <f t="shared" si="3"/>
        <v>13845</v>
      </c>
      <c r="S33" s="28">
        <f t="shared" si="4"/>
        <v>0</v>
      </c>
      <c r="T33" s="28">
        <f t="shared" si="5"/>
        <v>2</v>
      </c>
      <c r="U33" s="28">
        <f t="shared" si="6"/>
        <v>0</v>
      </c>
      <c r="V33" s="28"/>
      <c r="W33" s="28"/>
      <c r="X33" s="28"/>
    </row>
    <row r="34" spans="1:24" ht="14.25" customHeight="1" x14ac:dyDescent="0.25">
      <c r="A34" s="51" t="s">
        <v>169</v>
      </c>
      <c r="B34" s="145">
        <v>69658</v>
      </c>
      <c r="C34" s="145">
        <v>51018</v>
      </c>
      <c r="D34" s="145">
        <f t="shared" si="7"/>
        <v>18640</v>
      </c>
      <c r="E34" s="145">
        <v>31580</v>
      </c>
      <c r="F34" s="145">
        <f t="shared" si="0"/>
        <v>19438</v>
      </c>
      <c r="G34" s="37">
        <f t="shared" si="1"/>
        <v>0.73240690229406524</v>
      </c>
      <c r="H34" s="37">
        <f t="shared" si="2"/>
        <v>0.45335783398891727</v>
      </c>
      <c r="J34" s="41"/>
      <c r="K34" s="41"/>
      <c r="L34" s="41"/>
      <c r="M34" s="41"/>
      <c r="N34" s="41"/>
      <c r="O34" s="41"/>
      <c r="P34" s="41"/>
      <c r="R34" s="28">
        <f t="shared" si="3"/>
        <v>18640</v>
      </c>
      <c r="S34" s="28">
        <f t="shared" si="4"/>
        <v>0</v>
      </c>
      <c r="T34" s="28">
        <f t="shared" si="5"/>
        <v>19438</v>
      </c>
      <c r="U34" s="28">
        <f t="shared" si="6"/>
        <v>0</v>
      </c>
      <c r="V34" s="28"/>
      <c r="W34" s="28"/>
      <c r="X34" s="28"/>
    </row>
    <row r="35" spans="1:24" ht="14.25" customHeight="1" x14ac:dyDescent="0.25">
      <c r="A35" s="51" t="s">
        <v>147</v>
      </c>
      <c r="B35" s="145">
        <v>51050</v>
      </c>
      <c r="C35" s="145">
        <v>0</v>
      </c>
      <c r="D35" s="145">
        <f t="shared" si="7"/>
        <v>51050</v>
      </c>
      <c r="E35" s="145">
        <v>0</v>
      </c>
      <c r="F35" s="145">
        <f t="shared" si="0"/>
        <v>0</v>
      </c>
      <c r="G35" s="37">
        <f t="shared" si="1"/>
        <v>0</v>
      </c>
      <c r="H35" s="37">
        <f t="shared" si="2"/>
        <v>0</v>
      </c>
      <c r="J35" s="41"/>
      <c r="K35" s="41"/>
      <c r="L35" s="41"/>
      <c r="M35" s="41"/>
      <c r="N35" s="41"/>
      <c r="O35" s="41"/>
      <c r="P35" s="41"/>
      <c r="R35" s="28">
        <f t="shared" si="3"/>
        <v>51050</v>
      </c>
      <c r="S35" s="28">
        <f t="shared" si="4"/>
        <v>0</v>
      </c>
      <c r="T35" s="28">
        <f t="shared" si="5"/>
        <v>0</v>
      </c>
      <c r="U35" s="28">
        <f t="shared" si="6"/>
        <v>0</v>
      </c>
      <c r="V35" s="28"/>
      <c r="W35" s="28"/>
      <c r="X35" s="28"/>
    </row>
    <row r="36" spans="1:24" ht="14.25" customHeight="1" x14ac:dyDescent="0.25">
      <c r="A36" s="51" t="s">
        <v>330</v>
      </c>
      <c r="B36" s="145">
        <v>450000</v>
      </c>
      <c r="C36" s="145">
        <v>49199</v>
      </c>
      <c r="D36" s="145">
        <f t="shared" si="7"/>
        <v>400801</v>
      </c>
      <c r="E36" s="145">
        <v>40000</v>
      </c>
      <c r="F36" s="145">
        <f t="shared" si="0"/>
        <v>9199</v>
      </c>
      <c r="G36" s="37">
        <f t="shared" si="1"/>
        <v>0.10933111111111112</v>
      </c>
      <c r="H36" s="37">
        <f t="shared" si="2"/>
        <v>8.8888888888888892E-2</v>
      </c>
      <c r="J36" s="41"/>
      <c r="K36" s="41"/>
      <c r="L36" s="41"/>
      <c r="M36" s="41"/>
      <c r="N36" s="41"/>
      <c r="O36" s="41"/>
      <c r="P36" s="41"/>
      <c r="R36" s="28">
        <f t="shared" si="3"/>
        <v>400801</v>
      </c>
      <c r="S36" s="28">
        <f t="shared" si="4"/>
        <v>0</v>
      </c>
      <c r="T36" s="28">
        <f t="shared" si="5"/>
        <v>9199</v>
      </c>
      <c r="U36" s="28">
        <f t="shared" si="6"/>
        <v>0</v>
      </c>
      <c r="V36" s="28"/>
      <c r="W36" s="28"/>
      <c r="X36" s="28"/>
    </row>
    <row r="37" spans="1:24" ht="14.25" customHeight="1" x14ac:dyDescent="0.25">
      <c r="A37" s="51" t="s">
        <v>332</v>
      </c>
      <c r="B37" s="145">
        <v>206460</v>
      </c>
      <c r="C37" s="145">
        <v>0</v>
      </c>
      <c r="D37" s="145">
        <f t="shared" si="7"/>
        <v>206460</v>
      </c>
      <c r="E37" s="145">
        <v>0</v>
      </c>
      <c r="F37" s="145">
        <f t="shared" si="0"/>
        <v>0</v>
      </c>
      <c r="G37" s="37">
        <f t="shared" si="1"/>
        <v>0</v>
      </c>
      <c r="H37" s="37">
        <f t="shared" si="2"/>
        <v>0</v>
      </c>
      <c r="J37" s="41"/>
      <c r="K37" s="41"/>
      <c r="L37" s="41"/>
      <c r="M37" s="41"/>
      <c r="N37" s="41"/>
      <c r="O37" s="41"/>
      <c r="P37" s="41"/>
      <c r="R37" s="28">
        <f t="shared" si="3"/>
        <v>206460</v>
      </c>
      <c r="S37" s="28">
        <f t="shared" si="4"/>
        <v>0</v>
      </c>
      <c r="T37" s="28">
        <f t="shared" si="5"/>
        <v>0</v>
      </c>
      <c r="U37" s="28">
        <f t="shared" si="6"/>
        <v>0</v>
      </c>
      <c r="V37" s="28"/>
      <c r="W37" s="28"/>
      <c r="X37" s="28"/>
    </row>
    <row r="38" spans="1:24" ht="14.25" customHeight="1" x14ac:dyDescent="0.25">
      <c r="A38" s="51" t="s">
        <v>207</v>
      </c>
      <c r="B38" s="145">
        <v>231707</v>
      </c>
      <c r="C38" s="145">
        <v>0</v>
      </c>
      <c r="D38" s="145">
        <f t="shared" si="7"/>
        <v>231707</v>
      </c>
      <c r="E38" s="145">
        <v>0</v>
      </c>
      <c r="F38" s="145">
        <f t="shared" si="0"/>
        <v>0</v>
      </c>
      <c r="G38" s="37">
        <f t="shared" si="1"/>
        <v>0</v>
      </c>
      <c r="H38" s="37">
        <f t="shared" si="2"/>
        <v>0</v>
      </c>
      <c r="J38" s="41"/>
      <c r="K38" s="41"/>
      <c r="L38" s="41"/>
      <c r="M38" s="41"/>
      <c r="N38" s="41"/>
      <c r="O38" s="41"/>
      <c r="P38" s="41"/>
      <c r="R38" s="28"/>
      <c r="S38" s="28"/>
      <c r="T38" s="28"/>
      <c r="U38" s="28"/>
      <c r="V38" s="28"/>
      <c r="W38" s="28"/>
      <c r="X38" s="28"/>
    </row>
    <row r="39" spans="1:24" ht="14.25" customHeight="1" x14ac:dyDescent="0.25">
      <c r="A39" s="143" t="s">
        <v>170</v>
      </c>
      <c r="B39" s="144">
        <f>SUM(B40:B44)</f>
        <v>129475</v>
      </c>
      <c r="C39" s="144">
        <f>SUM(C40:C44)</f>
        <v>4974</v>
      </c>
      <c r="D39" s="144">
        <f t="shared" si="7"/>
        <v>124501</v>
      </c>
      <c r="E39" s="144">
        <f>SUM(E40:E44)</f>
        <v>2453</v>
      </c>
      <c r="F39" s="144">
        <f t="shared" si="0"/>
        <v>2521</v>
      </c>
      <c r="G39" s="187">
        <f t="shared" si="1"/>
        <v>3.8416682757289052E-2</v>
      </c>
      <c r="H39" s="187">
        <f t="shared" si="2"/>
        <v>1.8945742421316858E-2</v>
      </c>
      <c r="J39" s="41"/>
      <c r="K39" s="41"/>
      <c r="L39" s="41"/>
      <c r="M39" s="41"/>
      <c r="N39" s="41"/>
      <c r="O39" s="41"/>
      <c r="P39" s="41"/>
      <c r="R39" s="28"/>
      <c r="S39" s="28"/>
      <c r="T39" s="28"/>
      <c r="U39" s="28"/>
      <c r="V39" s="28"/>
      <c r="W39" s="28"/>
      <c r="X39" s="28"/>
    </row>
    <row r="40" spans="1:24" ht="14.25" customHeight="1" x14ac:dyDescent="0.25">
      <c r="A40" s="51" t="s">
        <v>170</v>
      </c>
      <c r="B40" s="145">
        <f>6000+4053</f>
        <v>10053</v>
      </c>
      <c r="C40" s="145">
        <v>21</v>
      </c>
      <c r="D40" s="145">
        <f t="shared" si="7"/>
        <v>10032</v>
      </c>
      <c r="E40" s="145">
        <v>0</v>
      </c>
      <c r="F40" s="145">
        <f t="shared" si="0"/>
        <v>21</v>
      </c>
      <c r="G40" s="37">
        <f t="shared" si="1"/>
        <v>2.0889286780065653E-3</v>
      </c>
      <c r="H40" s="37">
        <f t="shared" si="2"/>
        <v>0</v>
      </c>
      <c r="J40" s="41"/>
      <c r="K40" s="41"/>
      <c r="L40" s="41"/>
      <c r="M40" s="41"/>
      <c r="N40" s="41"/>
      <c r="O40" s="41"/>
      <c r="P40" s="41"/>
      <c r="R40" s="28">
        <f>B40-C40</f>
        <v>10032</v>
      </c>
      <c r="S40" s="28">
        <f>D40-R40</f>
        <v>0</v>
      </c>
      <c r="T40" s="28">
        <f>C40-E40</f>
        <v>21</v>
      </c>
      <c r="U40" s="28">
        <f>F40-T40</f>
        <v>0</v>
      </c>
      <c r="V40" s="28"/>
      <c r="W40" s="28"/>
      <c r="X40" s="28"/>
    </row>
    <row r="41" spans="1:24" ht="14.25" customHeight="1" x14ac:dyDescent="0.25">
      <c r="A41" s="51" t="s">
        <v>171</v>
      </c>
      <c r="B41" s="145">
        <v>30827</v>
      </c>
      <c r="C41" s="145">
        <v>0</v>
      </c>
      <c r="D41" s="145">
        <f t="shared" si="7"/>
        <v>30827</v>
      </c>
      <c r="E41" s="145">
        <v>0</v>
      </c>
      <c r="F41" s="145">
        <f t="shared" si="0"/>
        <v>0</v>
      </c>
      <c r="G41" s="37">
        <f t="shared" si="1"/>
        <v>0</v>
      </c>
      <c r="H41" s="37">
        <f t="shared" si="2"/>
        <v>0</v>
      </c>
      <c r="J41" s="41"/>
      <c r="K41" s="41"/>
      <c r="L41" s="41"/>
      <c r="M41" s="41"/>
      <c r="N41" s="41"/>
      <c r="O41" s="41"/>
      <c r="P41" s="41"/>
      <c r="R41" s="28">
        <f>B49-C49</f>
        <v>2000</v>
      </c>
      <c r="S41" s="28">
        <f>D49-R41</f>
        <v>0</v>
      </c>
      <c r="T41" s="28">
        <f>C49-E49</f>
        <v>0</v>
      </c>
      <c r="U41" s="28">
        <f>F49-T41</f>
        <v>0</v>
      </c>
      <c r="V41" s="28"/>
      <c r="W41" s="28"/>
      <c r="X41" s="28"/>
    </row>
    <row r="42" spans="1:24" ht="14.25" customHeight="1" x14ac:dyDescent="0.25">
      <c r="A42" s="51" t="s">
        <v>200</v>
      </c>
      <c r="B42" s="145">
        <v>50000</v>
      </c>
      <c r="C42" s="145">
        <v>0</v>
      </c>
      <c r="D42" s="145">
        <f t="shared" si="7"/>
        <v>50000</v>
      </c>
      <c r="E42" s="145">
        <v>0</v>
      </c>
      <c r="F42" s="145">
        <f t="shared" si="0"/>
        <v>0</v>
      </c>
      <c r="G42" s="37">
        <f t="shared" si="1"/>
        <v>0</v>
      </c>
      <c r="H42" s="37">
        <f t="shared" si="2"/>
        <v>0</v>
      </c>
      <c r="J42" s="41"/>
      <c r="K42" s="41"/>
      <c r="L42" s="41"/>
      <c r="M42" s="41"/>
      <c r="N42" s="41"/>
      <c r="O42" s="41"/>
      <c r="P42" s="41"/>
      <c r="R42" s="28"/>
      <c r="S42" s="28"/>
      <c r="T42" s="28"/>
      <c r="U42" s="28"/>
      <c r="V42" s="28"/>
      <c r="W42" s="28"/>
      <c r="X42" s="28"/>
    </row>
    <row r="43" spans="1:24" ht="14.25" customHeight="1" x14ac:dyDescent="0.25">
      <c r="A43" s="51" t="s">
        <v>172</v>
      </c>
      <c r="B43" s="145">
        <v>17008</v>
      </c>
      <c r="C43" s="145">
        <v>2500</v>
      </c>
      <c r="D43" s="145">
        <f t="shared" si="7"/>
        <v>14508</v>
      </c>
      <c r="E43" s="145">
        <v>0</v>
      </c>
      <c r="F43" s="145">
        <f t="shared" si="0"/>
        <v>2500</v>
      </c>
      <c r="G43" s="37">
        <f t="shared" si="1"/>
        <v>0.14698965192850424</v>
      </c>
      <c r="H43" s="37">
        <f t="shared" si="2"/>
        <v>0</v>
      </c>
      <c r="J43" s="41"/>
      <c r="K43" s="41"/>
      <c r="L43" s="41"/>
      <c r="M43" s="41"/>
      <c r="N43" s="41"/>
      <c r="O43" s="41"/>
      <c r="P43" s="41"/>
      <c r="R43" s="28">
        <f>B51-C51</f>
        <v>386443</v>
      </c>
      <c r="S43" s="28">
        <f>D51-R43</f>
        <v>0</v>
      </c>
      <c r="T43" s="28">
        <f>C51-E51</f>
        <v>1279241</v>
      </c>
      <c r="U43" s="28">
        <f>F51-T43</f>
        <v>0</v>
      </c>
      <c r="V43" s="28"/>
      <c r="W43" s="28"/>
      <c r="X43" s="28"/>
    </row>
    <row r="44" spans="1:24" ht="14.25" customHeight="1" x14ac:dyDescent="0.25">
      <c r="A44" s="51" t="s">
        <v>173</v>
      </c>
      <c r="B44" s="145">
        <v>21587</v>
      </c>
      <c r="C44" s="145">
        <v>2453</v>
      </c>
      <c r="D44" s="145">
        <f t="shared" si="7"/>
        <v>19134</v>
      </c>
      <c r="E44" s="145">
        <v>2453</v>
      </c>
      <c r="F44" s="145">
        <f t="shared" si="0"/>
        <v>0</v>
      </c>
      <c r="G44" s="37">
        <f t="shared" si="1"/>
        <v>0.11363320516977811</v>
      </c>
      <c r="H44" s="37">
        <f t="shared" si="2"/>
        <v>0.11363320516977811</v>
      </c>
      <c r="J44" s="41"/>
      <c r="K44" s="41"/>
      <c r="L44" s="41"/>
      <c r="M44" s="41"/>
      <c r="N44" s="41"/>
      <c r="O44" s="41"/>
      <c r="P44" s="41"/>
      <c r="R44" s="28" t="e">
        <f>#REF!-#REF!</f>
        <v>#REF!</v>
      </c>
      <c r="S44" s="28" t="e">
        <f>#REF!-R44</f>
        <v>#REF!</v>
      </c>
      <c r="T44" s="28" t="e">
        <f>#REF!-#REF!</f>
        <v>#REF!</v>
      </c>
      <c r="U44" s="28" t="e">
        <f>#REF!-T44</f>
        <v>#REF!</v>
      </c>
      <c r="V44" s="28"/>
      <c r="W44" s="28"/>
      <c r="X44" s="28"/>
    </row>
    <row r="45" spans="1:24" ht="14.25" customHeight="1" x14ac:dyDescent="0.25">
      <c r="A45" s="143" t="s">
        <v>174</v>
      </c>
      <c r="B45" s="144">
        <f>SUM(B46:B52)</f>
        <v>2585184</v>
      </c>
      <c r="C45" s="144">
        <f>SUM(C46:C52)</f>
        <v>1526438</v>
      </c>
      <c r="D45" s="144">
        <f t="shared" si="7"/>
        <v>1058746</v>
      </c>
      <c r="E45" s="144">
        <f>SUM(E46:E52)</f>
        <v>247197</v>
      </c>
      <c r="F45" s="144">
        <f t="shared" si="0"/>
        <v>1279241</v>
      </c>
      <c r="G45" s="187">
        <f t="shared" si="1"/>
        <v>0.59045623058165297</v>
      </c>
      <c r="H45" s="187">
        <f t="shared" si="2"/>
        <v>9.5620659883397074E-2</v>
      </c>
      <c r="J45" s="41"/>
      <c r="K45" s="41"/>
      <c r="L45" s="41"/>
      <c r="M45" s="41"/>
      <c r="N45" s="41"/>
      <c r="O45" s="41"/>
      <c r="P45" s="41"/>
      <c r="R45" s="28" t="e">
        <f>#REF!-#REF!</f>
        <v>#REF!</v>
      </c>
      <c r="S45" s="28" t="e">
        <f>#REF!-R45</f>
        <v>#REF!</v>
      </c>
      <c r="T45" s="28" t="e">
        <f>#REF!-#REF!</f>
        <v>#REF!</v>
      </c>
      <c r="U45" s="28" t="e">
        <f>#REF!-T45</f>
        <v>#REF!</v>
      </c>
      <c r="V45" s="28"/>
      <c r="W45" s="28"/>
      <c r="X45" s="28"/>
    </row>
    <row r="46" spans="1:24" ht="14.25" customHeight="1" x14ac:dyDescent="0.25">
      <c r="A46" s="51" t="s">
        <v>278</v>
      </c>
      <c r="B46" s="145">
        <v>25000</v>
      </c>
      <c r="C46" s="145">
        <v>0</v>
      </c>
      <c r="D46" s="145">
        <f t="shared" si="7"/>
        <v>25000</v>
      </c>
      <c r="E46" s="145">
        <v>0</v>
      </c>
      <c r="F46" s="145">
        <f t="shared" si="0"/>
        <v>0</v>
      </c>
      <c r="G46" s="37">
        <f t="shared" si="1"/>
        <v>0</v>
      </c>
      <c r="H46" s="37">
        <f t="shared" si="2"/>
        <v>0</v>
      </c>
      <c r="J46" s="41"/>
      <c r="K46" s="41"/>
      <c r="L46" s="41"/>
      <c r="M46" s="41"/>
      <c r="N46" s="41"/>
      <c r="O46" s="41"/>
      <c r="P46" s="41"/>
      <c r="R46" s="28">
        <f>B41-C41</f>
        <v>30827</v>
      </c>
      <c r="S46" s="28">
        <f>D41-R46</f>
        <v>0</v>
      </c>
      <c r="T46" s="28">
        <f>C41-E41</f>
        <v>0</v>
      </c>
      <c r="U46" s="28">
        <f>F41-T46</f>
        <v>0</v>
      </c>
      <c r="V46" s="28"/>
      <c r="W46" s="28"/>
      <c r="X46" s="28"/>
    </row>
    <row r="47" spans="1:24" ht="14.25" customHeight="1" x14ac:dyDescent="0.25">
      <c r="A47" s="51" t="s">
        <v>279</v>
      </c>
      <c r="B47" s="145">
        <v>1500</v>
      </c>
      <c r="C47" s="145">
        <v>0</v>
      </c>
      <c r="D47" s="145">
        <f t="shared" si="7"/>
        <v>1500</v>
      </c>
      <c r="E47" s="145">
        <v>0</v>
      </c>
      <c r="F47" s="145">
        <f t="shared" si="0"/>
        <v>0</v>
      </c>
      <c r="G47" s="37">
        <f t="shared" si="1"/>
        <v>0</v>
      </c>
      <c r="H47" s="37">
        <f t="shared" si="2"/>
        <v>0</v>
      </c>
      <c r="J47" s="41"/>
      <c r="K47" s="41"/>
      <c r="L47" s="41"/>
      <c r="M47" s="41"/>
      <c r="N47" s="41"/>
      <c r="O47" s="41"/>
      <c r="P47" s="41"/>
      <c r="R47" s="28" t="e">
        <f>#REF!-#REF!</f>
        <v>#REF!</v>
      </c>
      <c r="S47" s="28" t="e">
        <f>#REF!-R47</f>
        <v>#REF!</v>
      </c>
      <c r="T47" s="28" t="e">
        <f>#REF!-#REF!</f>
        <v>#REF!</v>
      </c>
      <c r="U47" s="28" t="e">
        <f>#REF!-T47</f>
        <v>#REF!</v>
      </c>
      <c r="V47" s="28"/>
      <c r="W47" s="28"/>
      <c r="X47" s="28"/>
    </row>
    <row r="48" spans="1:24" ht="14.25" customHeight="1" x14ac:dyDescent="0.25">
      <c r="A48" s="51" t="s">
        <v>280</v>
      </c>
      <c r="B48" s="145">
        <v>1600</v>
      </c>
      <c r="C48" s="145">
        <v>0</v>
      </c>
      <c r="D48" s="145">
        <f t="shared" si="7"/>
        <v>1600</v>
      </c>
      <c r="E48" s="145">
        <v>0</v>
      </c>
      <c r="F48" s="145">
        <f t="shared" si="0"/>
        <v>0</v>
      </c>
      <c r="G48" s="37">
        <f t="shared" si="1"/>
        <v>0</v>
      </c>
      <c r="H48" s="37">
        <f t="shared" si="2"/>
        <v>0</v>
      </c>
      <c r="J48" s="41"/>
      <c r="K48" s="41"/>
      <c r="L48" s="41"/>
      <c r="M48" s="41"/>
      <c r="N48" s="41"/>
      <c r="O48" s="41"/>
      <c r="P48" s="41"/>
      <c r="R48" s="28"/>
      <c r="S48" s="28"/>
      <c r="T48" s="28"/>
      <c r="U48" s="28"/>
      <c r="V48" s="28"/>
      <c r="W48" s="28"/>
      <c r="X48" s="28"/>
    </row>
    <row r="49" spans="1:24" ht="14.25" customHeight="1" x14ac:dyDescent="0.25">
      <c r="A49" s="51" t="s">
        <v>281</v>
      </c>
      <c r="B49" s="145">
        <v>2000</v>
      </c>
      <c r="C49" s="145">
        <v>0</v>
      </c>
      <c r="D49" s="145">
        <f t="shared" si="7"/>
        <v>2000</v>
      </c>
      <c r="E49" s="145">
        <v>0</v>
      </c>
      <c r="F49" s="145">
        <f t="shared" si="0"/>
        <v>0</v>
      </c>
      <c r="G49" s="37">
        <f t="shared" si="1"/>
        <v>0</v>
      </c>
      <c r="H49" s="37">
        <f t="shared" si="2"/>
        <v>0</v>
      </c>
      <c r="J49" s="41"/>
      <c r="K49" s="41"/>
      <c r="L49" s="41"/>
      <c r="M49" s="41"/>
      <c r="N49" s="41"/>
      <c r="O49" s="41"/>
      <c r="P49" s="41"/>
      <c r="R49" s="28">
        <f>B44-C44</f>
        <v>19134</v>
      </c>
      <c r="S49" s="28">
        <f>D44-R49</f>
        <v>0</v>
      </c>
      <c r="T49" s="28">
        <f>C44-E44</f>
        <v>0</v>
      </c>
      <c r="U49" s="28">
        <f>F44-T49</f>
        <v>0</v>
      </c>
      <c r="V49" s="28"/>
      <c r="W49" s="28"/>
      <c r="X49" s="28"/>
    </row>
    <row r="50" spans="1:24" ht="14.25" hidden="1" customHeight="1" x14ac:dyDescent="0.25">
      <c r="A50" s="51" t="s">
        <v>218</v>
      </c>
      <c r="B50" s="145"/>
      <c r="C50" s="145"/>
      <c r="D50" s="145">
        <f t="shared" si="7"/>
        <v>0</v>
      </c>
      <c r="E50" s="145"/>
      <c r="F50" s="145">
        <f t="shared" si="0"/>
        <v>0</v>
      </c>
      <c r="G50" s="37" t="e">
        <f t="shared" si="1"/>
        <v>#DIV/0!</v>
      </c>
      <c r="H50" s="37" t="e">
        <f t="shared" si="2"/>
        <v>#DIV/0!</v>
      </c>
      <c r="J50" s="41"/>
      <c r="K50" s="41"/>
      <c r="L50" s="41"/>
      <c r="M50" s="41"/>
      <c r="N50" s="41"/>
      <c r="O50" s="41"/>
      <c r="P50" s="41"/>
      <c r="R50" s="28"/>
      <c r="S50" s="28"/>
      <c r="T50" s="28"/>
      <c r="U50" s="28"/>
      <c r="V50" s="28"/>
      <c r="W50" s="28"/>
      <c r="X50" s="28"/>
    </row>
    <row r="51" spans="1:24" ht="14.25" customHeight="1" x14ac:dyDescent="0.25">
      <c r="A51" s="51" t="s">
        <v>175</v>
      </c>
      <c r="B51" s="145">
        <v>1912881</v>
      </c>
      <c r="C51" s="145">
        <v>1526438</v>
      </c>
      <c r="D51" s="145">
        <f t="shared" si="7"/>
        <v>386443</v>
      </c>
      <c r="E51" s="145">
        <v>247197</v>
      </c>
      <c r="F51" s="145">
        <f t="shared" si="0"/>
        <v>1279241</v>
      </c>
      <c r="G51" s="37">
        <f t="shared" si="1"/>
        <v>0.79797854649609667</v>
      </c>
      <c r="H51" s="37">
        <f t="shared" si="2"/>
        <v>0.12922758917047114</v>
      </c>
      <c r="J51" s="41"/>
      <c r="K51" s="41"/>
      <c r="L51" s="41"/>
      <c r="M51" s="41"/>
      <c r="N51" s="41"/>
      <c r="O51" s="41"/>
      <c r="P51" s="41"/>
      <c r="R51" s="28">
        <f>B45-C45</f>
        <v>1058746</v>
      </c>
      <c r="S51" s="28">
        <f>D45-R51</f>
        <v>0</v>
      </c>
      <c r="T51" s="28">
        <f>C45-E45</f>
        <v>1279241</v>
      </c>
      <c r="U51" s="28">
        <f>F45-T51</f>
        <v>0</v>
      </c>
      <c r="V51" s="28"/>
      <c r="W51" s="28"/>
      <c r="X51" s="28"/>
    </row>
    <row r="52" spans="1:24" ht="14.25" customHeight="1" x14ac:dyDescent="0.25">
      <c r="A52" s="51" t="s">
        <v>339</v>
      </c>
      <c r="B52" s="145">
        <v>642203</v>
      </c>
      <c r="C52" s="145">
        <v>0</v>
      </c>
      <c r="D52" s="145">
        <f t="shared" si="7"/>
        <v>642203</v>
      </c>
      <c r="E52" s="145">
        <v>0</v>
      </c>
      <c r="F52" s="145">
        <f t="shared" si="0"/>
        <v>0</v>
      </c>
      <c r="G52" s="37">
        <f t="shared" si="1"/>
        <v>0</v>
      </c>
      <c r="H52" s="37">
        <f t="shared" si="2"/>
        <v>0</v>
      </c>
      <c r="J52" s="41"/>
      <c r="K52" s="41"/>
      <c r="L52" s="41"/>
      <c r="M52" s="41"/>
      <c r="N52" s="41"/>
      <c r="O52" s="41"/>
      <c r="P52" s="41"/>
      <c r="R52" s="28"/>
      <c r="S52" s="28"/>
      <c r="T52" s="28"/>
      <c r="U52" s="28"/>
      <c r="V52" s="28"/>
      <c r="W52" s="28"/>
      <c r="X52" s="28"/>
    </row>
    <row r="53" spans="1:24" ht="14.25" customHeight="1" x14ac:dyDescent="0.25">
      <c r="A53" s="148" t="s">
        <v>29</v>
      </c>
      <c r="B53" s="149">
        <f>B45+B39+B31+B29+B27+B20+B15+B6</f>
        <v>12460006</v>
      </c>
      <c r="C53" s="149">
        <f>C45+C39+C31+C29+C27+C20+C15+C6</f>
        <v>2206244</v>
      </c>
      <c r="D53" s="149">
        <f>D45+D39+D31+D29+D27+D20+D15+D6</f>
        <v>10253762</v>
      </c>
      <c r="E53" s="149">
        <f>E45+E39+E31+E29+E27+E20+E15+E6</f>
        <v>597097</v>
      </c>
      <c r="F53" s="149">
        <f>F45+F39+F31+F29+F27+F20+F15+F6</f>
        <v>1609147</v>
      </c>
      <c r="G53" s="200">
        <f t="shared" si="1"/>
        <v>0.177066046356639</v>
      </c>
      <c r="H53" s="200">
        <f t="shared" si="2"/>
        <v>4.7921084468177624E-2</v>
      </c>
      <c r="J53" s="41"/>
      <c r="K53" s="41"/>
      <c r="L53" s="41"/>
      <c r="M53" s="41"/>
      <c r="N53" s="41"/>
      <c r="O53" s="41"/>
      <c r="P53" s="41"/>
      <c r="R53" s="28"/>
      <c r="S53" s="28"/>
      <c r="T53" s="28"/>
      <c r="U53" s="28"/>
      <c r="V53" s="28"/>
      <c r="W53" s="28"/>
      <c r="X53" s="28"/>
    </row>
    <row r="54" spans="1:24" ht="14.25" customHeight="1" x14ac:dyDescent="0.25">
      <c r="B54" s="28"/>
      <c r="C54" s="28"/>
      <c r="D54" s="28"/>
      <c r="E54" s="28"/>
      <c r="F54" s="28"/>
      <c r="V54" s="28"/>
    </row>
    <row r="55" spans="1:24" ht="14.25" customHeight="1" x14ac:dyDescent="0.25">
      <c r="B55" s="28"/>
      <c r="C55" s="28"/>
      <c r="D55" s="28"/>
      <c r="E55" s="28"/>
    </row>
    <row r="56" spans="1:24" ht="14.25" customHeight="1" x14ac:dyDescent="0.25">
      <c r="B56" s="28"/>
      <c r="C56" s="28"/>
      <c r="D56" s="28"/>
    </row>
    <row r="57" spans="1:24" ht="14.25" customHeight="1" x14ac:dyDescent="0.25">
      <c r="B57" s="28"/>
      <c r="C57" s="28"/>
      <c r="D57" s="28"/>
      <c r="E57" s="28"/>
      <c r="F57" s="28"/>
    </row>
    <row r="59" spans="1:24" ht="14.25" customHeight="1" x14ac:dyDescent="0.25">
      <c r="B59" s="28"/>
    </row>
    <row r="64" spans="1:24" ht="15" hidden="1" customHeight="1" x14ac:dyDescent="0.25">
      <c r="B64" s="28" t="e">
        <f>#REF!-B53</f>
        <v>#REF!</v>
      </c>
      <c r="C64" s="28" t="e">
        <f>#REF!-C53</f>
        <v>#REF!</v>
      </c>
    </row>
  </sheetData>
  <mergeCells count="4">
    <mergeCell ref="A2:H2"/>
    <mergeCell ref="A3:H3"/>
    <mergeCell ref="K4:M4"/>
    <mergeCell ref="N4:P4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Ministerio</vt:lpstr>
      <vt:lpstr>01-01</vt:lpstr>
      <vt:lpstr>01-02</vt:lpstr>
      <vt:lpstr>02-01</vt:lpstr>
      <vt:lpstr>03-01</vt:lpstr>
      <vt:lpstr>03-02</vt:lpstr>
      <vt:lpstr>03-03</vt:lpstr>
      <vt:lpstr>03-04</vt:lpstr>
      <vt:lpstr>T 087</vt:lpstr>
      <vt:lpstr>St22 P01</vt:lpstr>
      <vt:lpstr>Cuadros Diapo</vt:lpstr>
      <vt:lpstr>'01-01'!Área_de_impresión</vt:lpstr>
      <vt:lpstr>'01-02'!Área_de_impresión</vt:lpstr>
      <vt:lpstr>'03-01'!Área_de_impresión</vt:lpstr>
      <vt:lpstr>'T 087'!Área_de_impresión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Maureira Acevedo</dc:creator>
  <cp:lastModifiedBy>Raul Anabalon Maturana</cp:lastModifiedBy>
  <cp:lastPrinted>2022-03-14T15:42:16Z</cp:lastPrinted>
  <dcterms:created xsi:type="dcterms:W3CDTF">2019-01-04T16:19:15Z</dcterms:created>
  <dcterms:modified xsi:type="dcterms:W3CDTF">2023-03-20T13:28:22Z</dcterms:modified>
</cp:coreProperties>
</file>