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mincap-my.sharepoint.com/personal/raul_anabalon_cultura_gob_cl/Documents/Documentos/RAM/Año 2022/Coordinación Interna/Traspaso Administración/Banner Ejecución Presupuestaria/"/>
    </mc:Choice>
  </mc:AlternateContent>
  <xr:revisionPtr revIDLastSave="10" documentId="11_DCDDB0DB1D4A90E87F9CFA196773FFB99C1DA364" xr6:coauthVersionLast="47" xr6:coauthVersionMax="47" xr10:uidLastSave="{FE20D162-022B-41AB-8B30-E36A7DED97E4}"/>
  <bookViews>
    <workbookView xWindow="20370" yWindow="-120" windowWidth="29040" windowHeight="15840" tabRatio="770" xr2:uid="{00000000-000D-0000-FFFF-FFFF00000000}"/>
  </bookViews>
  <sheets>
    <sheet name="Subsecretaría" sheetId="1" r:id="rId1"/>
    <sheet name="01-01" sheetId="19" r:id="rId2"/>
    <sheet name="01-02" sheetId="20" r:id="rId3"/>
    <sheet name="01-50" sheetId="40" r:id="rId4"/>
    <sheet name="Cuadros Diapo" sheetId="25" state="hidden" r:id="rId5"/>
  </sheets>
  <definedNames>
    <definedName name="_xlnm.Print_Area" localSheetId="1">'01-01'!$A$2:$I$61</definedName>
    <definedName name="_xlnm.Print_Area" localSheetId="2">'01-02'!$A$2:$J$27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0" l="1"/>
  <c r="D7" i="20"/>
  <c r="F7" i="19"/>
  <c r="D7" i="19"/>
  <c r="C21" i="20" l="1"/>
  <c r="C20" i="20"/>
  <c r="C40" i="19"/>
  <c r="C35" i="19"/>
  <c r="C7" i="20"/>
  <c r="C7" i="19" l="1"/>
  <c r="C23" i="20" l="1"/>
  <c r="C18" i="20"/>
  <c r="C17" i="20"/>
  <c r="C14" i="20"/>
  <c r="C14" i="19"/>
  <c r="C38" i="19" l="1"/>
  <c r="C36" i="19"/>
  <c r="C34" i="19"/>
  <c r="C33" i="19"/>
  <c r="C32" i="19"/>
  <c r="E46" i="19" l="1"/>
  <c r="E42" i="25" l="1"/>
  <c r="Q42" i="25" s="1"/>
  <c r="D42" i="25"/>
  <c r="P42" i="25" s="1"/>
  <c r="R42" i="25" l="1"/>
  <c r="F42" i="25"/>
  <c r="T18" i="40" l="1"/>
  <c r="R18" i="40"/>
  <c r="I18" i="40"/>
  <c r="H18" i="40"/>
  <c r="G18" i="40"/>
  <c r="E18" i="40"/>
  <c r="F17" i="40"/>
  <c r="I17" i="40" s="1"/>
  <c r="D17" i="40"/>
  <c r="C17" i="40"/>
  <c r="I16" i="40"/>
  <c r="H16" i="40"/>
  <c r="G16" i="40"/>
  <c r="E16" i="40"/>
  <c r="I15" i="40"/>
  <c r="H15" i="40"/>
  <c r="G15" i="40"/>
  <c r="E15" i="40"/>
  <c r="I14" i="40"/>
  <c r="H14" i="40"/>
  <c r="G14" i="40"/>
  <c r="E14" i="40"/>
  <c r="I13" i="40"/>
  <c r="H13" i="40"/>
  <c r="G13" i="40"/>
  <c r="E13" i="40"/>
  <c r="I12" i="40"/>
  <c r="H12" i="40"/>
  <c r="G12" i="40"/>
  <c r="E12" i="40"/>
  <c r="I11" i="40"/>
  <c r="H11" i="40"/>
  <c r="G11" i="40"/>
  <c r="E11" i="40"/>
  <c r="I10" i="40"/>
  <c r="H10" i="40"/>
  <c r="G10" i="40"/>
  <c r="E10" i="40"/>
  <c r="F9" i="40"/>
  <c r="D9" i="40"/>
  <c r="D8" i="40" s="1"/>
  <c r="C9" i="40"/>
  <c r="I7" i="40"/>
  <c r="H7" i="40"/>
  <c r="G7" i="40"/>
  <c r="E7" i="40"/>
  <c r="F6" i="40"/>
  <c r="D6" i="40"/>
  <c r="C6" i="40"/>
  <c r="T26" i="20"/>
  <c r="R26" i="20"/>
  <c r="I26" i="20"/>
  <c r="H26" i="20"/>
  <c r="G26" i="20"/>
  <c r="E26" i="20"/>
  <c r="S26" i="20" s="1"/>
  <c r="T25" i="20"/>
  <c r="S25" i="20"/>
  <c r="R25" i="20"/>
  <c r="I25" i="20"/>
  <c r="H25" i="20"/>
  <c r="G25" i="20"/>
  <c r="E25" i="20"/>
  <c r="F24" i="20"/>
  <c r="D24" i="20"/>
  <c r="C24" i="20"/>
  <c r="I23" i="20"/>
  <c r="H23" i="20"/>
  <c r="G23" i="20"/>
  <c r="E23" i="20"/>
  <c r="F22" i="20"/>
  <c r="D22" i="20"/>
  <c r="C22" i="20"/>
  <c r="T21" i="20"/>
  <c r="R21" i="20"/>
  <c r="I21" i="20"/>
  <c r="H21" i="20"/>
  <c r="G21" i="20"/>
  <c r="E21" i="20"/>
  <c r="T20" i="20"/>
  <c r="R20" i="20"/>
  <c r="I20" i="20"/>
  <c r="H20" i="20"/>
  <c r="G20" i="20"/>
  <c r="E20" i="20"/>
  <c r="T19" i="20"/>
  <c r="R19" i="20"/>
  <c r="I19" i="20"/>
  <c r="H19" i="20"/>
  <c r="G19" i="20"/>
  <c r="E19" i="20"/>
  <c r="T18" i="20"/>
  <c r="R18" i="20"/>
  <c r="I18" i="20"/>
  <c r="H18" i="20"/>
  <c r="G18" i="20"/>
  <c r="E18" i="20"/>
  <c r="T17" i="20"/>
  <c r="R17" i="20"/>
  <c r="I17" i="20"/>
  <c r="H17" i="20"/>
  <c r="G17" i="20"/>
  <c r="E17" i="20"/>
  <c r="F16" i="20"/>
  <c r="F15" i="20" s="1"/>
  <c r="D16" i="20"/>
  <c r="C16" i="20"/>
  <c r="C15" i="20" s="1"/>
  <c r="T14" i="20"/>
  <c r="R14" i="20"/>
  <c r="I14" i="20"/>
  <c r="H14" i="20"/>
  <c r="G14" i="20"/>
  <c r="E14" i="20"/>
  <c r="T13" i="20"/>
  <c r="R13" i="20"/>
  <c r="I13" i="20"/>
  <c r="H13" i="20"/>
  <c r="G13" i="20"/>
  <c r="E13" i="20"/>
  <c r="T12" i="20"/>
  <c r="R12" i="20"/>
  <c r="I12" i="20"/>
  <c r="H12" i="20"/>
  <c r="G12" i="20"/>
  <c r="E12" i="20"/>
  <c r="T11" i="20"/>
  <c r="R11" i="20"/>
  <c r="G11" i="20"/>
  <c r="U11" i="20" s="1"/>
  <c r="E11" i="20"/>
  <c r="T10" i="20"/>
  <c r="R10" i="20"/>
  <c r="I10" i="20"/>
  <c r="H10" i="20"/>
  <c r="G10" i="20"/>
  <c r="E10" i="20"/>
  <c r="T9" i="20"/>
  <c r="R9" i="20"/>
  <c r="G9" i="20"/>
  <c r="U9" i="20" s="1"/>
  <c r="E9" i="20"/>
  <c r="T8" i="20"/>
  <c r="R8" i="20"/>
  <c r="G8" i="20"/>
  <c r="U8" i="20" s="1"/>
  <c r="E8" i="20"/>
  <c r="S8" i="20" s="1"/>
  <c r="F6" i="20"/>
  <c r="E7" i="20"/>
  <c r="T7" i="20"/>
  <c r="I57" i="19"/>
  <c r="H57" i="19"/>
  <c r="G57" i="19"/>
  <c r="E57" i="19"/>
  <c r="I56" i="19"/>
  <c r="H56" i="19"/>
  <c r="G56" i="19"/>
  <c r="E56" i="19"/>
  <c r="F55" i="19"/>
  <c r="I55" i="19" s="1"/>
  <c r="D55" i="19"/>
  <c r="E55" i="19" s="1"/>
  <c r="C55" i="19"/>
  <c r="I54" i="19"/>
  <c r="H54" i="19"/>
  <c r="G54" i="19"/>
  <c r="E54" i="19"/>
  <c r="F53" i="19"/>
  <c r="I53" i="19" s="1"/>
  <c r="D53" i="19"/>
  <c r="H53" i="19" s="1"/>
  <c r="C53" i="19"/>
  <c r="C52" i="19" s="1"/>
  <c r="I51" i="19"/>
  <c r="H51" i="19"/>
  <c r="G51" i="19"/>
  <c r="E51" i="19"/>
  <c r="F50" i="19"/>
  <c r="D50" i="19"/>
  <c r="C50" i="19"/>
  <c r="I49" i="19"/>
  <c r="H49" i="19"/>
  <c r="G49" i="19"/>
  <c r="E49" i="19"/>
  <c r="I48" i="19"/>
  <c r="H48" i="19"/>
  <c r="G48" i="19"/>
  <c r="E48" i="19"/>
  <c r="I47" i="19"/>
  <c r="H47" i="19"/>
  <c r="G47" i="19"/>
  <c r="E47" i="19"/>
  <c r="I46" i="19"/>
  <c r="H46" i="19"/>
  <c r="G46" i="19"/>
  <c r="I45" i="19"/>
  <c r="H45" i="19"/>
  <c r="G45" i="19"/>
  <c r="E45" i="19"/>
  <c r="F44" i="19"/>
  <c r="I44" i="19" s="1"/>
  <c r="D44" i="19"/>
  <c r="C44" i="19"/>
  <c r="I43" i="19"/>
  <c r="H43" i="19"/>
  <c r="G43" i="19"/>
  <c r="E43" i="19"/>
  <c r="I42" i="19"/>
  <c r="H42" i="19"/>
  <c r="G42" i="19"/>
  <c r="E42" i="19"/>
  <c r="F41" i="19"/>
  <c r="I41" i="19" s="1"/>
  <c r="E41" i="19"/>
  <c r="D41" i="19"/>
  <c r="C41" i="19"/>
  <c r="I40" i="19"/>
  <c r="H40" i="19"/>
  <c r="G40" i="19"/>
  <c r="E40" i="19"/>
  <c r="I39" i="19"/>
  <c r="H39" i="19"/>
  <c r="G39" i="19"/>
  <c r="E39" i="19"/>
  <c r="I38" i="19"/>
  <c r="H38" i="19"/>
  <c r="G38" i="19"/>
  <c r="E38" i="19"/>
  <c r="I37" i="19"/>
  <c r="H37" i="19"/>
  <c r="G37" i="19"/>
  <c r="E37" i="19"/>
  <c r="I36" i="19"/>
  <c r="H36" i="19"/>
  <c r="G36" i="19"/>
  <c r="E36" i="19"/>
  <c r="I35" i="19"/>
  <c r="H35" i="19"/>
  <c r="G35" i="19"/>
  <c r="E35" i="19"/>
  <c r="I34" i="19"/>
  <c r="H34" i="19"/>
  <c r="G34" i="19"/>
  <c r="E34" i="19"/>
  <c r="I33" i="19"/>
  <c r="H33" i="19"/>
  <c r="G33" i="19"/>
  <c r="E33" i="19"/>
  <c r="I32" i="19"/>
  <c r="H32" i="19"/>
  <c r="G32" i="19"/>
  <c r="E32" i="19"/>
  <c r="F31" i="19"/>
  <c r="D31" i="19"/>
  <c r="C31" i="19"/>
  <c r="I30" i="19"/>
  <c r="H30" i="19"/>
  <c r="G30" i="19"/>
  <c r="E30" i="19"/>
  <c r="I29" i="19"/>
  <c r="H29" i="19"/>
  <c r="G29" i="19"/>
  <c r="E29" i="19"/>
  <c r="I28" i="19"/>
  <c r="H28" i="19"/>
  <c r="G28" i="19"/>
  <c r="E28" i="19"/>
  <c r="F27" i="19"/>
  <c r="D27" i="19"/>
  <c r="C27" i="19"/>
  <c r="I26" i="19"/>
  <c r="H26" i="19"/>
  <c r="G26" i="19"/>
  <c r="E26" i="19"/>
  <c r="I25" i="19"/>
  <c r="H25" i="19"/>
  <c r="G25" i="19"/>
  <c r="E25" i="19"/>
  <c r="I24" i="19"/>
  <c r="H24" i="19"/>
  <c r="G24" i="19"/>
  <c r="E24" i="19"/>
  <c r="I23" i="19"/>
  <c r="H23" i="19"/>
  <c r="G23" i="19"/>
  <c r="E23" i="19"/>
  <c r="I22" i="19"/>
  <c r="H22" i="19"/>
  <c r="G22" i="19"/>
  <c r="E22" i="19"/>
  <c r="I21" i="19"/>
  <c r="H21" i="19"/>
  <c r="G21" i="19"/>
  <c r="E21" i="19"/>
  <c r="I20" i="19"/>
  <c r="H20" i="19"/>
  <c r="G20" i="19"/>
  <c r="E20" i="19"/>
  <c r="I19" i="19"/>
  <c r="H19" i="19"/>
  <c r="G19" i="19"/>
  <c r="E19" i="19"/>
  <c r="I18" i="19"/>
  <c r="H18" i="19"/>
  <c r="G18" i="19"/>
  <c r="E18" i="19"/>
  <c r="F17" i="19"/>
  <c r="D17" i="19"/>
  <c r="C17" i="19"/>
  <c r="I15" i="19"/>
  <c r="H15" i="19"/>
  <c r="G15" i="19"/>
  <c r="E15" i="19"/>
  <c r="I14" i="19"/>
  <c r="H14" i="19"/>
  <c r="G14" i="19"/>
  <c r="E14" i="19"/>
  <c r="I13" i="19"/>
  <c r="H13" i="19"/>
  <c r="G13" i="19"/>
  <c r="E13" i="19"/>
  <c r="I12" i="19"/>
  <c r="H12" i="19"/>
  <c r="G12" i="19"/>
  <c r="E12" i="19"/>
  <c r="G11" i="19"/>
  <c r="E11" i="19"/>
  <c r="I10" i="19"/>
  <c r="H10" i="19"/>
  <c r="G10" i="19"/>
  <c r="E10" i="19"/>
  <c r="I9" i="19"/>
  <c r="H9" i="19"/>
  <c r="G9" i="19"/>
  <c r="E9" i="19"/>
  <c r="I8" i="19"/>
  <c r="H8" i="19"/>
  <c r="G8" i="19"/>
  <c r="E8" i="19"/>
  <c r="I7" i="19"/>
  <c r="E7" i="19"/>
  <c r="C6" i="19"/>
  <c r="H27" i="19" l="1"/>
  <c r="H24" i="20"/>
  <c r="E17" i="19"/>
  <c r="S11" i="20"/>
  <c r="H22" i="20"/>
  <c r="H6" i="40"/>
  <c r="I9" i="40"/>
  <c r="H50" i="19"/>
  <c r="E44" i="19"/>
  <c r="S17" i="20"/>
  <c r="U26" i="20"/>
  <c r="U25" i="20"/>
  <c r="H41" i="19"/>
  <c r="U21" i="20"/>
  <c r="U13" i="20"/>
  <c r="F52" i="19"/>
  <c r="I52" i="19" s="1"/>
  <c r="I50" i="19"/>
  <c r="I22" i="20"/>
  <c r="S21" i="20"/>
  <c r="S18" i="20"/>
  <c r="H16" i="20"/>
  <c r="I15" i="20"/>
  <c r="U18" i="20"/>
  <c r="S13" i="20"/>
  <c r="S9" i="20"/>
  <c r="H31" i="19"/>
  <c r="I31" i="19"/>
  <c r="S19" i="20"/>
  <c r="H55" i="19"/>
  <c r="G53" i="19"/>
  <c r="T17" i="40"/>
  <c r="E17" i="40"/>
  <c r="S17" i="40" s="1"/>
  <c r="H17" i="40"/>
  <c r="S18" i="40"/>
  <c r="R17" i="40"/>
  <c r="U12" i="20"/>
  <c r="S12" i="20"/>
  <c r="H44" i="19"/>
  <c r="E31" i="19"/>
  <c r="I27" i="19"/>
  <c r="G17" i="40"/>
  <c r="F8" i="40"/>
  <c r="G8" i="40" s="1"/>
  <c r="U18" i="40"/>
  <c r="E9" i="40"/>
  <c r="G9" i="40"/>
  <c r="H9" i="40"/>
  <c r="G6" i="40"/>
  <c r="E6" i="40"/>
  <c r="G24" i="20"/>
  <c r="E24" i="20"/>
  <c r="U19" i="20"/>
  <c r="T16" i="20"/>
  <c r="I16" i="20"/>
  <c r="S20" i="20"/>
  <c r="U20" i="20"/>
  <c r="D15" i="20"/>
  <c r="T15" i="20" s="1"/>
  <c r="R16" i="20"/>
  <c r="U17" i="20"/>
  <c r="E16" i="20"/>
  <c r="G16" i="20"/>
  <c r="S14" i="20"/>
  <c r="U14" i="20"/>
  <c r="D6" i="20"/>
  <c r="G6" i="20" s="1"/>
  <c r="R7" i="20"/>
  <c r="S7" i="20" s="1"/>
  <c r="S10" i="20"/>
  <c r="U10" i="20"/>
  <c r="G7" i="20"/>
  <c r="U7" i="20" s="1"/>
  <c r="G31" i="19"/>
  <c r="F16" i="19"/>
  <c r="H8" i="40"/>
  <c r="D19" i="40"/>
  <c r="I6" i="40"/>
  <c r="R6" i="40"/>
  <c r="C8" i="40"/>
  <c r="T6" i="40"/>
  <c r="F27" i="20"/>
  <c r="I24" i="20"/>
  <c r="E22" i="20"/>
  <c r="R24" i="20"/>
  <c r="C6" i="20"/>
  <c r="H7" i="20"/>
  <c r="G22" i="20"/>
  <c r="T24" i="20"/>
  <c r="I7" i="20"/>
  <c r="G55" i="19"/>
  <c r="H17" i="19"/>
  <c r="E27" i="19"/>
  <c r="G41" i="19"/>
  <c r="E50" i="19"/>
  <c r="F6" i="19"/>
  <c r="H7" i="19"/>
  <c r="G27" i="19"/>
  <c r="G50" i="19"/>
  <c r="D52" i="19"/>
  <c r="E52" i="19" s="1"/>
  <c r="E53" i="19"/>
  <c r="G44" i="19"/>
  <c r="G7" i="19"/>
  <c r="I17" i="19"/>
  <c r="D6" i="19"/>
  <c r="G17" i="19"/>
  <c r="C16" i="19"/>
  <c r="C58" i="19" s="1"/>
  <c r="D16" i="19"/>
  <c r="U17" i="40" l="1"/>
  <c r="I16" i="19"/>
  <c r="S16" i="20"/>
  <c r="T6" i="20"/>
  <c r="U6" i="20" s="1"/>
  <c r="S6" i="40"/>
  <c r="U16" i="20"/>
  <c r="R15" i="20"/>
  <c r="F19" i="40"/>
  <c r="T19" i="40" s="1"/>
  <c r="G19" i="40"/>
  <c r="U6" i="40"/>
  <c r="U24" i="20"/>
  <c r="S24" i="20"/>
  <c r="D27" i="20"/>
  <c r="T27" i="20" s="1"/>
  <c r="H15" i="20"/>
  <c r="G15" i="20"/>
  <c r="U15" i="20" s="1"/>
  <c r="E15" i="20"/>
  <c r="C19" i="40"/>
  <c r="H19" i="40" s="1"/>
  <c r="E8" i="40"/>
  <c r="E19" i="40" s="1"/>
  <c r="I8" i="40"/>
  <c r="C27" i="20"/>
  <c r="I27" i="20" s="1"/>
  <c r="E6" i="20"/>
  <c r="R6" i="20"/>
  <c r="H6" i="20"/>
  <c r="I6" i="20"/>
  <c r="F58" i="19"/>
  <c r="I58" i="19" s="1"/>
  <c r="I6" i="19"/>
  <c r="G16" i="19"/>
  <c r="H16" i="19"/>
  <c r="E16" i="19"/>
  <c r="D58" i="19"/>
  <c r="H58" i="19" s="1"/>
  <c r="H6" i="19"/>
  <c r="G6" i="19"/>
  <c r="E6" i="19"/>
  <c r="H52" i="19"/>
  <c r="G52" i="19"/>
  <c r="S15" i="20" l="1"/>
  <c r="G27" i="20"/>
  <c r="U27" i="20" s="1"/>
  <c r="U19" i="40"/>
  <c r="R27" i="20"/>
  <c r="E58" i="19"/>
  <c r="G58" i="19"/>
  <c r="R19" i="40"/>
  <c r="S19" i="40" s="1"/>
  <c r="I19" i="40"/>
  <c r="E27" i="20"/>
  <c r="S6" i="20"/>
  <c r="H27" i="20"/>
  <c r="S27" i="20" l="1"/>
  <c r="L14" i="25" l="1"/>
  <c r="N14" i="25" l="1"/>
  <c r="D15" i="25" l="1"/>
  <c r="F15" i="25" s="1"/>
  <c r="E15" i="25"/>
  <c r="C10" i="1" l="1"/>
  <c r="J8" i="25"/>
  <c r="J11" i="25"/>
  <c r="K11" i="25" l="1"/>
  <c r="L11" i="25" s="1"/>
  <c r="K8" i="25"/>
  <c r="L8" i="25" s="1"/>
  <c r="D10" i="1" l="1"/>
  <c r="F10" i="1"/>
  <c r="G10" i="1" l="1"/>
  <c r="E10" i="1" l="1"/>
  <c r="N45" i="25" l="1"/>
  <c r="N41" i="25"/>
  <c r="N40" i="25"/>
  <c r="M48" i="25"/>
  <c r="M45" i="25"/>
  <c r="M43" i="25"/>
  <c r="M41" i="25"/>
  <c r="M40" i="25"/>
  <c r="O45" i="25" l="1"/>
  <c r="O40" i="25"/>
  <c r="O41" i="25"/>
  <c r="N43" i="25"/>
  <c r="O43" i="25" s="1"/>
  <c r="N47" i="25" l="1"/>
  <c r="M47" i="25"/>
  <c r="M51" i="25" s="1"/>
  <c r="K15" i="25"/>
  <c r="J15" i="25"/>
  <c r="J19" i="25" s="1"/>
  <c r="L15" i="25" l="1"/>
  <c r="K19" i="25"/>
  <c r="L19" i="25" s="1"/>
  <c r="N15" i="25"/>
  <c r="M15" i="25"/>
  <c r="O47" i="25"/>
  <c r="E46" i="25"/>
  <c r="Q46" i="25" s="1"/>
  <c r="O15" i="25" l="1"/>
  <c r="D46" i="25"/>
  <c r="N48" i="25" l="1"/>
  <c r="P46" i="25"/>
  <c r="F46" i="25"/>
  <c r="I10" i="1"/>
  <c r="H10" i="1"/>
  <c r="O48" i="25" l="1"/>
  <c r="N51" i="25"/>
  <c r="O51" i="25" s="1"/>
  <c r="E29" i="25" l="1"/>
  <c r="D29" i="25" l="1"/>
  <c r="F29" i="25" s="1"/>
  <c r="D41" i="25" l="1"/>
  <c r="D28" i="25"/>
  <c r="D32" i="25"/>
  <c r="E28" i="25"/>
  <c r="E32" i="25"/>
  <c r="F32" i="25" l="1"/>
  <c r="F28" i="25"/>
  <c r="J50" i="25" l="1"/>
  <c r="K49" i="25"/>
  <c r="J49" i="25"/>
  <c r="J45" i="25"/>
  <c r="K41" i="25"/>
  <c r="J41" i="25"/>
  <c r="H50" i="25"/>
  <c r="H49" i="25"/>
  <c r="G49" i="25"/>
  <c r="H44" i="25"/>
  <c r="H41" i="25"/>
  <c r="G41" i="25"/>
  <c r="E50" i="25"/>
  <c r="D50" i="25"/>
  <c r="E44" i="25"/>
  <c r="E31" i="25"/>
  <c r="D31" i="25"/>
  <c r="E27" i="25"/>
  <c r="H18" i="25"/>
  <c r="G9" i="25"/>
  <c r="D17" i="25"/>
  <c r="P41" i="25" l="1"/>
  <c r="Q44" i="25"/>
  <c r="E30" i="25"/>
  <c r="E33" i="25" s="1"/>
  <c r="D47" i="25"/>
  <c r="P47" i="25" s="1"/>
  <c r="D40" i="25"/>
  <c r="I49" i="25"/>
  <c r="F50" i="25"/>
  <c r="F31" i="25"/>
  <c r="E45" i="25"/>
  <c r="H45" i="25"/>
  <c r="I41" i="25"/>
  <c r="L49" i="25"/>
  <c r="E41" i="25"/>
  <c r="Q41" i="25" s="1"/>
  <c r="D44" i="25"/>
  <c r="G44" i="25"/>
  <c r="I44" i="25" s="1"/>
  <c r="K50" i="25"/>
  <c r="L50" i="25" s="1"/>
  <c r="G50" i="25"/>
  <c r="P50" i="25" s="1"/>
  <c r="L41" i="25"/>
  <c r="G8" i="25"/>
  <c r="G17" i="25"/>
  <c r="M17" i="25" s="1"/>
  <c r="E12" i="25"/>
  <c r="N12" i="25" s="1"/>
  <c r="D18" i="25"/>
  <c r="H9" i="25"/>
  <c r="I9" i="25" s="1"/>
  <c r="D9" i="25"/>
  <c r="M9" i="25" s="1"/>
  <c r="E10" i="25"/>
  <c r="N10" i="25" s="1"/>
  <c r="D12" i="25"/>
  <c r="M12" i="25" s="1"/>
  <c r="H8" i="25"/>
  <c r="E18" i="25"/>
  <c r="N18" i="25" s="1"/>
  <c r="E9" i="25"/>
  <c r="D10" i="25"/>
  <c r="M10" i="25" s="1"/>
  <c r="G18" i="25"/>
  <c r="I18" i="25" s="1"/>
  <c r="K45" i="25"/>
  <c r="L45" i="25" s="1"/>
  <c r="J40" i="25"/>
  <c r="J51" i="25" s="1"/>
  <c r="G40" i="25"/>
  <c r="G45" i="25"/>
  <c r="H40" i="25"/>
  <c r="K40" i="25"/>
  <c r="N9" i="25" l="1"/>
  <c r="E43" i="25"/>
  <c r="Q43" i="25" s="1"/>
  <c r="Q50" i="25"/>
  <c r="R50" i="25" s="1"/>
  <c r="P40" i="25"/>
  <c r="P44" i="25"/>
  <c r="R44" i="25" s="1"/>
  <c r="Q45" i="25"/>
  <c r="M18" i="25"/>
  <c r="D45" i="25"/>
  <c r="P45" i="25" s="1"/>
  <c r="G51" i="25"/>
  <c r="L40" i="25"/>
  <c r="K51" i="25"/>
  <c r="L51" i="25" s="1"/>
  <c r="D49" i="25"/>
  <c r="P49" i="25" s="1"/>
  <c r="I50" i="25"/>
  <c r="I40" i="25"/>
  <c r="H51" i="25"/>
  <c r="E49" i="25"/>
  <c r="Q49" i="25" s="1"/>
  <c r="E40" i="25"/>
  <c r="Q40" i="25" s="1"/>
  <c r="I45" i="25"/>
  <c r="E47" i="25"/>
  <c r="Q47" i="25" s="1"/>
  <c r="F41" i="25"/>
  <c r="R41" i="25"/>
  <c r="F44" i="25"/>
  <c r="D13" i="25"/>
  <c r="M13" i="25" s="1"/>
  <c r="D16" i="25"/>
  <c r="M16" i="25" s="1"/>
  <c r="I8" i="25"/>
  <c r="M14" i="25"/>
  <c r="F9" i="25"/>
  <c r="F18" i="25"/>
  <c r="H17" i="25"/>
  <c r="I17" i="25" s="1"/>
  <c r="D8" i="25"/>
  <c r="M8" i="25" s="1"/>
  <c r="E17" i="25"/>
  <c r="E13" i="25"/>
  <c r="N13" i="25" s="1"/>
  <c r="E8" i="25"/>
  <c r="N8" i="25" s="1"/>
  <c r="O10" i="25"/>
  <c r="F10" i="25"/>
  <c r="F12" i="25"/>
  <c r="O12" i="25"/>
  <c r="G8" i="1"/>
  <c r="G11" i="25"/>
  <c r="G19" i="25" s="1"/>
  <c r="H11" i="25"/>
  <c r="D9" i="1"/>
  <c r="N17" i="25" l="1"/>
  <c r="O17" i="25" s="1"/>
  <c r="F45" i="25"/>
  <c r="O18" i="25"/>
  <c r="D48" i="25"/>
  <c r="P48" i="25" s="1"/>
  <c r="D43" i="25"/>
  <c r="P43" i="25" s="1"/>
  <c r="I51" i="25"/>
  <c r="R45" i="25"/>
  <c r="R47" i="25"/>
  <c r="F47" i="25"/>
  <c r="F40" i="25"/>
  <c r="R49" i="25"/>
  <c r="F49" i="25"/>
  <c r="E48" i="25"/>
  <c r="I11" i="25"/>
  <c r="E16" i="25"/>
  <c r="N16" i="25" s="1"/>
  <c r="F8" i="25"/>
  <c r="F17" i="25"/>
  <c r="O14" i="25"/>
  <c r="F14" i="25"/>
  <c r="F13" i="25"/>
  <c r="O13" i="25"/>
  <c r="D11" i="25"/>
  <c r="M11" i="25" s="1"/>
  <c r="E8" i="1"/>
  <c r="E11" i="25"/>
  <c r="N11" i="25" s="1"/>
  <c r="O9" i="25"/>
  <c r="H19" i="25"/>
  <c r="I19" i="25" s="1"/>
  <c r="E9" i="1"/>
  <c r="F9" i="1"/>
  <c r="G9" i="1"/>
  <c r="G7" i="1" s="1"/>
  <c r="C9" i="1"/>
  <c r="E51" i="25" l="1"/>
  <c r="Q48" i="25"/>
  <c r="R48" i="25" s="1"/>
  <c r="E7" i="1"/>
  <c r="F43" i="25"/>
  <c r="D51" i="25"/>
  <c r="P51" i="25"/>
  <c r="R43" i="25"/>
  <c r="O8" i="25"/>
  <c r="R40" i="25"/>
  <c r="F48" i="25"/>
  <c r="E19" i="25"/>
  <c r="D19" i="25"/>
  <c r="M19" i="25"/>
  <c r="F8" i="1"/>
  <c r="F7" i="1" s="1"/>
  <c r="C8" i="1"/>
  <c r="C7" i="1" s="1"/>
  <c r="O11" i="25"/>
  <c r="F11" i="25"/>
  <c r="O16" i="25"/>
  <c r="F16" i="25"/>
  <c r="D8" i="1"/>
  <c r="D7" i="1" s="1"/>
  <c r="F51" i="25" l="1"/>
  <c r="F19" i="25"/>
  <c r="Q51" i="25"/>
  <c r="R51" i="25" s="1"/>
  <c r="N19" i="25"/>
  <c r="O19" i="25" s="1"/>
  <c r="H7" i="1" l="1"/>
  <c r="I7" i="1"/>
  <c r="D27" i="25" l="1"/>
  <c r="F27" i="25" s="1"/>
  <c r="D30" i="25" l="1"/>
  <c r="F30" i="25" s="1"/>
  <c r="D33" i="25" l="1"/>
  <c r="F33" i="25" s="1"/>
  <c r="H9" i="1" l="1"/>
  <c r="I9" i="1"/>
  <c r="I8" i="1" l="1"/>
  <c r="H8" i="1" l="1"/>
</calcChain>
</file>

<file path=xl/sharedStrings.xml><?xml version="1.0" encoding="utf-8"?>
<sst xmlns="http://schemas.openxmlformats.org/spreadsheetml/2006/main" count="316" uniqueCount="135">
  <si>
    <t>CÓDIGO</t>
  </si>
  <si>
    <t>CATÁLOGO PRESUPUESTARIO</t>
  </si>
  <si>
    <t>PRESUPUESTO</t>
  </si>
  <si>
    <t>COMPROMISO</t>
  </si>
  <si>
    <t>DISPONIBILIDAD PRESUPUESTARIA</t>
  </si>
  <si>
    <t>DEVENGADO</t>
  </si>
  <si>
    <t>DISPONIBILIDAD POR DEVENGADO</t>
  </si>
  <si>
    <t>% COMPROMISO</t>
  </si>
  <si>
    <t>% EJECUCIÓN</t>
  </si>
  <si>
    <t>GASTOS EN PERSONAL</t>
  </si>
  <si>
    <t>Planilla</t>
  </si>
  <si>
    <t>Asignación por Desempeño de Funciones Críticas</t>
  </si>
  <si>
    <t>Trabajos Extraordinarios</t>
  </si>
  <si>
    <t>Comisiones de Servicios en el País</t>
  </si>
  <si>
    <t>Comisiones de Servicios en el Exterior</t>
  </si>
  <si>
    <t>Honorarios a Suma Alzada - Personas Naturales</t>
  </si>
  <si>
    <t>BIENES Y SERVICIOS DE CONSUMO</t>
  </si>
  <si>
    <t>ADQUISICION DE ACTIVOS NO FINANCIEROS</t>
  </si>
  <si>
    <t>29.03</t>
  </si>
  <si>
    <t>29.04</t>
  </si>
  <si>
    <t>Mobiliario y Otros</t>
  </si>
  <si>
    <t>29.05</t>
  </si>
  <si>
    <t>Máquinas y Equipos</t>
  </si>
  <si>
    <t>29.06</t>
  </si>
  <si>
    <t>Equipos Informáticos</t>
  </si>
  <si>
    <t>29.07</t>
  </si>
  <si>
    <t>Programas Informáticos</t>
  </si>
  <si>
    <t>SALDO FINAL DE CAJA</t>
  </si>
  <si>
    <t>TOTAL</t>
  </si>
  <si>
    <t>PROGRAMA 01 SUBSECRETARIA DE LAS CULTURAS Y LAS ARTES</t>
  </si>
  <si>
    <t>PRESTACIONES DE SEGURIDAD SOCIAL</t>
  </si>
  <si>
    <t>TRANSFERENCIAS CORRIENTES</t>
  </si>
  <si>
    <t>24.01</t>
  </si>
  <si>
    <t>Al Sector Privado</t>
  </si>
  <si>
    <t>24.01.081</t>
  </si>
  <si>
    <t>Fundación Artesanías De Chile</t>
  </si>
  <si>
    <t>24.01.188</t>
  </si>
  <si>
    <t>Corporación Cultural Municipalidad De Santiago</t>
  </si>
  <si>
    <t>24.01.268</t>
  </si>
  <si>
    <t>Orquestas Sinfónicas Juveniles E Infantiles De Chile</t>
  </si>
  <si>
    <t>24.01.269</t>
  </si>
  <si>
    <t>Centro Cultural Palacios De La Moneda</t>
  </si>
  <si>
    <t>24.01.279</t>
  </si>
  <si>
    <t>Corporación Centro Cultural Gabriela Mistral</t>
  </si>
  <si>
    <t>24.01.290</t>
  </si>
  <si>
    <t>Otras Instituciones Colaboradoras</t>
  </si>
  <si>
    <t>24.01.291</t>
  </si>
  <si>
    <t>Parque Cultural Valparaíso</t>
  </si>
  <si>
    <t>24.01.292</t>
  </si>
  <si>
    <t>Programa de Orquestas Regionales Profesionales</t>
  </si>
  <si>
    <t>24.02</t>
  </si>
  <si>
    <t>Al Gobierno Central</t>
  </si>
  <si>
    <t>24.02.002</t>
  </si>
  <si>
    <t>Ministerio De Relaciones Exteriores</t>
  </si>
  <si>
    <t>24.03</t>
  </si>
  <si>
    <t>A Otras Entidades Públicas</t>
  </si>
  <si>
    <t>24.03.087</t>
  </si>
  <si>
    <t>Actividades De Fomento Y Desarrollo Cultural</t>
  </si>
  <si>
    <t>24.03.098</t>
  </si>
  <si>
    <t>Conjuntos Artísticos Estables</t>
  </si>
  <si>
    <t>24.03.122</t>
  </si>
  <si>
    <t>Fomento del Arte en la Educación</t>
  </si>
  <si>
    <t>24.03.129</t>
  </si>
  <si>
    <t>Red Cultura</t>
  </si>
  <si>
    <t>24.03.135</t>
  </si>
  <si>
    <t>Centros de Creación y Desarrollo Artístico para Niños y Jóvenes</t>
  </si>
  <si>
    <t>24.03.138</t>
  </si>
  <si>
    <t>24.03.139</t>
  </si>
  <si>
    <t>Programa Nacional de Desarrollo Artístico en la Educación</t>
  </si>
  <si>
    <t>24.03.145</t>
  </si>
  <si>
    <t>Programa de Exportación de Servicios</t>
  </si>
  <si>
    <t>INTEGROS AL FISCO</t>
  </si>
  <si>
    <t>Vehiculos</t>
  </si>
  <si>
    <t>31.02</t>
  </si>
  <si>
    <t>Proyectos</t>
  </si>
  <si>
    <t>TRANSFERENCIAS DE CAPITAL</t>
  </si>
  <si>
    <t>33.03</t>
  </si>
  <si>
    <t>33.03.002</t>
  </si>
  <si>
    <t>Programa de Financiamiento de Infraestructura Cultural Pública y/o Privada</t>
  </si>
  <si>
    <t>SERVICIO DE LA DEUDA</t>
  </si>
  <si>
    <t>34.07</t>
  </si>
  <si>
    <t>Deuda Flotante</t>
  </si>
  <si>
    <t xml:space="preserve"> </t>
  </si>
  <si>
    <t>PROGRAMA 02 FONDOS CULTURALES Y ARTÍSTICOS</t>
  </si>
  <si>
    <t>24.03.094</t>
  </si>
  <si>
    <t>Fondo Nacional De Fomento Del Libro Y La Lectura</t>
  </si>
  <si>
    <t>24.03.097</t>
  </si>
  <si>
    <t>Fondo Nacional De Desarrollo Cultural Y Las Artes</t>
  </si>
  <si>
    <t>24.03.520</t>
  </si>
  <si>
    <t>Fondos Para El Fomento De La Música Nacional</t>
  </si>
  <si>
    <t>24.03.521</t>
  </si>
  <si>
    <t>Fondo De Fomento Audiovisual</t>
  </si>
  <si>
    <t>35</t>
  </si>
  <si>
    <t>TOTAL GASTOS</t>
  </si>
  <si>
    <t>-</t>
  </si>
  <si>
    <t>P01 Subsecretaría de las Culturas y las Artes</t>
  </si>
  <si>
    <t>P02 Fondos Culturales y Artísticos</t>
  </si>
  <si>
    <t xml:space="preserve"> PROGRAMA PRESUPUESTARIO</t>
  </si>
  <si>
    <t>SUBSECRETARÍA DE LAS CULTURAS Y LAS ARTES</t>
  </si>
  <si>
    <t>EJECUCIÓN</t>
  </si>
  <si>
    <t>SUBTÍTULO</t>
  </si>
  <si>
    <t>DENOMINACIONES</t>
  </si>
  <si>
    <t>PROGRAMA 01:</t>
  </si>
  <si>
    <t>PROGRAMA 02:</t>
  </si>
  <si>
    <t>FONDOS CULTURALES Y ARTÍSTICOS</t>
  </si>
  <si>
    <t>%</t>
  </si>
  <si>
    <t>ADQUISICIÓN DE ACTIVOS NO FINANCIEROS</t>
  </si>
  <si>
    <t>INICIATIVAS DE INVERSIÓN</t>
  </si>
  <si>
    <t>SUBSECRETARÍA DEL PATRIMONIO CULTURAL</t>
  </si>
  <si>
    <t>SERVICIO NACIONAL DEL PATRIMONIO CULTURAL</t>
  </si>
  <si>
    <t>RED DE BIBLIOTECAS PÚBLICAS</t>
  </si>
  <si>
    <t>PROGRAMA 03:</t>
  </si>
  <si>
    <t>CONSEJO DE MONUMENTOS NACIONALES</t>
  </si>
  <si>
    <t>Dietas a Juntas, Consejos y Comisiones</t>
  </si>
  <si>
    <t>24.03.146</t>
  </si>
  <si>
    <t>24.07</t>
  </si>
  <si>
    <t>A Organismos Internacionales</t>
  </si>
  <si>
    <t>Fomento y Desarrollo de Artes de la Visualidad</t>
  </si>
  <si>
    <t>Apoyo a Organizaciones Culturales Colaboradoras</t>
  </si>
  <si>
    <t>24.07.001</t>
  </si>
  <si>
    <t>Organismos Internacionales</t>
  </si>
  <si>
    <t>24.03.522</t>
  </si>
  <si>
    <t>Fomento y Desarrollo de las Artes Escénicas</t>
  </si>
  <si>
    <t>P50 Fondo de Emergencia Transitorio</t>
  </si>
  <si>
    <t>Dietas a Consejeros</t>
  </si>
  <si>
    <t>24.01.300</t>
  </si>
  <si>
    <t>24.02.001</t>
  </si>
  <si>
    <t>24.02.009</t>
  </si>
  <si>
    <t>Fondo Concursable Instituciones Colaboradoras de las Artes y las Culturas</t>
  </si>
  <si>
    <t>Secretaría General de Gobierno Consejo Nacional de Televisión</t>
  </si>
  <si>
    <t>Subsecretaría de Educación - Programa 01</t>
  </si>
  <si>
    <t>PROGRAMA 50 FONDO DE EMERGENCIA TRANSITORIO - SUBSECRETARÍA DE LAS CULTURAS Y LAS ARTES</t>
  </si>
  <si>
    <t>FONDO DE EMERGENCIA TRANSITORIO</t>
  </si>
  <si>
    <t>PROGRAMA 50:</t>
  </si>
  <si>
    <t>Reporte Ejecución al 31/12/2021 (En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</si>
</sst>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0.0%"/>
    <numFmt numFmtId="165" formatCode="&quot;$&quot;\ 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b/>
      <sz val="3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D3DDED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164" fontId="4" fillId="0" borderId="5" xfId="1" applyNumberFormat="1" applyFont="1" applyBorder="1" applyAlignment="1">
      <alignment horizontal="center"/>
    </xf>
    <xf numFmtId="165" fontId="5" fillId="0" borderId="2" xfId="2" applyNumberFormat="1" applyFont="1" applyFill="1" applyBorder="1"/>
    <xf numFmtId="3" fontId="5" fillId="0" borderId="5" xfId="0" applyNumberFormat="1" applyFont="1" applyBorder="1"/>
    <xf numFmtId="164" fontId="5" fillId="0" borderId="5" xfId="1" applyNumberFormat="1" applyFont="1" applyBorder="1" applyAlignment="1">
      <alignment horizontal="center"/>
    </xf>
    <xf numFmtId="165" fontId="5" fillId="0" borderId="2" xfId="2" applyNumberFormat="1" applyFont="1" applyBorder="1"/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horizontal="right" vertical="center"/>
    </xf>
    <xf numFmtId="164" fontId="4" fillId="2" borderId="5" xfId="1" applyNumberFormat="1" applyFont="1" applyFill="1" applyBorder="1" applyAlignment="1">
      <alignment horizontal="center"/>
    </xf>
    <xf numFmtId="49" fontId="0" fillId="0" borderId="0" xfId="0" applyNumberFormat="1"/>
    <xf numFmtId="3" fontId="0" fillId="0" borderId="0" xfId="0" applyNumberFormat="1"/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3" fontId="6" fillId="0" borderId="5" xfId="0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64" fontId="5" fillId="0" borderId="5" xfId="1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8" fillId="0" borderId="0" xfId="0" applyFont="1" applyAlignment="1"/>
    <xf numFmtId="3" fontId="4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64" fontId="2" fillId="2" borderId="5" xfId="1" applyNumberFormat="1" applyFont="1" applyFill="1" applyBorder="1" applyAlignment="1">
      <alignment horizontal="center"/>
    </xf>
    <xf numFmtId="3" fontId="2" fillId="0" borderId="0" xfId="0" applyNumberFormat="1" applyFont="1"/>
    <xf numFmtId="49" fontId="4" fillId="0" borderId="5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3" fontId="7" fillId="0" borderId="0" xfId="0" applyNumberFormat="1" applyFont="1"/>
    <xf numFmtId="3" fontId="2" fillId="0" borderId="7" xfId="0" applyNumberFormat="1" applyFont="1" applyBorder="1" applyAlignment="1">
      <alignment horizontal="right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/>
    <xf numFmtId="3" fontId="0" fillId="0" borderId="5" xfId="0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left" vertical="center" indent="3"/>
    </xf>
    <xf numFmtId="0" fontId="0" fillId="0" borderId="5" xfId="0" applyFont="1" applyBorder="1" applyAlignment="1">
      <alignment horizontal="left" vertical="center" indent="3"/>
    </xf>
    <xf numFmtId="0" fontId="0" fillId="0" borderId="0" xfId="0" applyFill="1"/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1" xfId="0" applyFont="1" applyBorder="1" applyAlignment="1">
      <alignment horizontal="left" vertical="center" wrapText="1" readingOrder="1"/>
    </xf>
    <xf numFmtId="3" fontId="12" fillId="0" borderId="1" xfId="0" applyNumberFormat="1" applyFont="1" applyBorder="1" applyAlignment="1">
      <alignment horizontal="right" vertical="center" wrapText="1" readingOrder="1"/>
    </xf>
    <xf numFmtId="3" fontId="11" fillId="3" borderId="1" xfId="0" applyNumberFormat="1" applyFont="1" applyFill="1" applyBorder="1" applyAlignment="1">
      <alignment horizontal="right" vertical="center" wrapText="1" readingOrder="1"/>
    </xf>
    <xf numFmtId="164" fontId="12" fillId="0" borderId="1" xfId="1" applyNumberFormat="1" applyFont="1" applyBorder="1" applyAlignment="1">
      <alignment horizontal="center" vertical="center" wrapText="1" readingOrder="1"/>
    </xf>
    <xf numFmtId="41" fontId="12" fillId="0" borderId="1" xfId="0" applyNumberFormat="1" applyFont="1" applyBorder="1" applyAlignment="1">
      <alignment horizontal="center" vertical="center" wrapText="1" readingOrder="1"/>
    </xf>
    <xf numFmtId="164" fontId="12" fillId="0" borderId="1" xfId="0" applyNumberFormat="1" applyFont="1" applyBorder="1" applyAlignment="1">
      <alignment horizontal="center" vertical="center" wrapText="1" readingOrder="1"/>
    </xf>
    <xf numFmtId="164" fontId="11" fillId="3" borderId="1" xfId="0" applyNumberFormat="1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0" fillId="3" borderId="10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3" fontId="10" fillId="3" borderId="1" xfId="0" applyNumberFormat="1" applyFont="1" applyFill="1" applyBorder="1" applyAlignment="1">
      <alignment horizontal="right" vertical="center" wrapText="1" readingOrder="1"/>
    </xf>
    <xf numFmtId="3" fontId="5" fillId="0" borderId="4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 readingOrder="1"/>
    </xf>
    <xf numFmtId="164" fontId="10" fillId="3" borderId="1" xfId="1" applyNumberFormat="1" applyFont="1" applyFill="1" applyBorder="1" applyAlignment="1">
      <alignment horizontal="center" vertical="center" wrapText="1" readingOrder="1"/>
    </xf>
    <xf numFmtId="3" fontId="5" fillId="0" borderId="4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  <xf numFmtId="164" fontId="5" fillId="0" borderId="5" xfId="1" applyNumberFormat="1" applyFont="1" applyFill="1" applyBorder="1" applyAlignment="1">
      <alignment horizontal="center"/>
    </xf>
    <xf numFmtId="3" fontId="0" fillId="0" borderId="0" xfId="0" applyNumberFormat="1" applyFill="1"/>
    <xf numFmtId="3" fontId="13" fillId="0" borderId="1" xfId="0" applyNumberFormat="1" applyFont="1" applyBorder="1" applyAlignment="1">
      <alignment horizontal="right" vertical="center" wrapText="1" readingOrder="1"/>
    </xf>
    <xf numFmtId="164" fontId="13" fillId="0" borderId="1" xfId="1" applyNumberFormat="1" applyFont="1" applyBorder="1" applyAlignment="1">
      <alignment horizontal="center" vertical="center" wrapText="1" readingOrder="1"/>
    </xf>
    <xf numFmtId="165" fontId="5" fillId="0" borderId="9" xfId="2" applyNumberFormat="1" applyFont="1" applyBorder="1"/>
    <xf numFmtId="3" fontId="5" fillId="0" borderId="3" xfId="0" applyNumberFormat="1" applyFont="1" applyBorder="1"/>
    <xf numFmtId="164" fontId="5" fillId="0" borderId="3" xfId="1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164" fontId="4" fillId="0" borderId="7" xfId="1" applyNumberFormat="1" applyFont="1" applyBorder="1" applyAlignment="1">
      <alignment horizontal="center"/>
    </xf>
    <xf numFmtId="165" fontId="5" fillId="0" borderId="5" xfId="2" applyNumberFormat="1" applyFont="1" applyBorder="1"/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2" fillId="0" borderId="1" xfId="0" applyNumberFormat="1" applyFont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4" fillId="0" borderId="0" xfId="0" applyNumberFormat="1" applyFont="1" applyFill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/>
    <xf numFmtId="3" fontId="4" fillId="0" borderId="15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12" xfId="0" applyNumberFormat="1" applyBorder="1" applyAlignment="1">
      <alignment horizontal="left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10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0" fontId="11" fillId="3" borderId="8" xfId="0" applyFont="1" applyFill="1" applyBorder="1" applyAlignment="1">
      <alignment horizontal="center" vertical="center" wrapText="1" readingOrder="1"/>
    </xf>
    <xf numFmtId="0" fontId="11" fillId="3" borderId="9" xfId="0" applyFont="1" applyFill="1" applyBorder="1" applyAlignment="1">
      <alignment horizontal="center" vertical="center" wrapText="1" readingOrder="1"/>
    </xf>
    <xf numFmtId="0" fontId="11" fillId="3" borderId="12" xfId="0" applyFont="1" applyFill="1" applyBorder="1" applyAlignment="1">
      <alignment horizontal="center" vertical="center" wrapText="1" readingOrder="1"/>
    </xf>
    <xf numFmtId="0" fontId="11" fillId="3" borderId="16" xfId="0" applyFont="1" applyFill="1" applyBorder="1" applyAlignment="1">
      <alignment horizontal="center" vertical="center" wrapText="1" readingOrder="1"/>
    </xf>
    <xf numFmtId="0" fontId="11" fillId="3" borderId="6" xfId="0" applyFont="1" applyFill="1" applyBorder="1" applyAlignment="1">
      <alignment horizontal="center" vertical="center" wrapText="1" readingOrder="1"/>
    </xf>
    <xf numFmtId="0" fontId="11" fillId="3" borderId="14" xfId="0" applyFont="1" applyFill="1" applyBorder="1" applyAlignment="1">
      <alignment horizontal="center" vertical="center" wrapText="1" readingOrder="1"/>
    </xf>
    <xf numFmtId="0" fontId="11" fillId="3" borderId="17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8" xfId="0" applyFont="1" applyFill="1" applyBorder="1" applyAlignment="1">
      <alignment horizontal="center" vertical="center" wrapText="1" readingOrder="1"/>
    </xf>
    <xf numFmtId="0" fontId="11" fillId="3" borderId="15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0" fillId="3" borderId="15" xfId="0" applyFont="1" applyFill="1" applyBorder="1" applyAlignment="1">
      <alignment horizontal="center" vertical="center" wrapText="1" readingOrder="1"/>
    </xf>
    <xf numFmtId="0" fontId="10" fillId="3" borderId="10" xfId="0" applyFont="1" applyFill="1" applyBorder="1" applyAlignment="1">
      <alignment horizontal="center" vertical="center" wrapText="1" readingOrder="1"/>
    </xf>
    <xf numFmtId="0" fontId="10" fillId="3" borderId="9" xfId="0" applyFont="1" applyFill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center" vertical="center" wrapText="1" readingOrder="1"/>
    </xf>
    <xf numFmtId="0" fontId="10" fillId="3" borderId="16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wrapText="1" readingOrder="1"/>
    </xf>
    <xf numFmtId="0" fontId="10" fillId="3" borderId="14" xfId="0" applyFont="1" applyFill="1" applyBorder="1" applyAlignment="1">
      <alignment horizontal="center" vertical="center" wrapText="1" readingOrder="1"/>
    </xf>
    <xf numFmtId="0" fontId="10" fillId="3" borderId="17" xfId="0" applyFont="1" applyFill="1" applyBorder="1" applyAlignment="1">
      <alignment horizontal="center" vertical="center" wrapText="1" readingOrder="1"/>
    </xf>
  </cellXfs>
  <cellStyles count="6">
    <cellStyle name="Normal" xfId="0" builtinId="0"/>
    <cellStyle name="Normal 2" xfId="3" xr:uid="{00000000-0005-0000-0000-000002000000}"/>
    <cellStyle name="Normal 3" xfId="2" xr:uid="{00000000-0005-0000-0000-000003000000}"/>
    <cellStyle name="Normal 3 2 5" xfId="5" xr:uid="{00000000-0005-0000-0000-000004000000}"/>
    <cellStyle name="Porcentaje" xfId="1" builtinId="5"/>
    <cellStyle name="Porcentaje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1"/>
  <sheetViews>
    <sheetView tabSelected="1" zoomScale="90" zoomScaleNormal="90" workbookViewId="0">
      <selection activeCell="B2" sqref="B2:I2"/>
    </sheetView>
  </sheetViews>
  <sheetFormatPr baseColWidth="10" defaultRowHeight="15" x14ac:dyDescent="0.25"/>
  <cols>
    <col min="1" max="1" width="2.85546875" customWidth="1"/>
    <col min="2" max="2" width="49.5703125" customWidth="1"/>
    <col min="3" max="4" width="16.28515625" customWidth="1"/>
    <col min="5" max="5" width="16.7109375" customWidth="1"/>
    <col min="6" max="6" width="16.28515625" customWidth="1"/>
    <col min="7" max="7" width="18.28515625" customWidth="1"/>
    <col min="8" max="9" width="16.28515625" customWidth="1"/>
  </cols>
  <sheetData>
    <row r="1" spans="2:12" x14ac:dyDescent="0.25">
      <c r="B1" s="65"/>
    </row>
    <row r="2" spans="2:12" x14ac:dyDescent="0.25">
      <c r="B2" s="113" t="s">
        <v>98</v>
      </c>
      <c r="C2" s="113"/>
      <c r="D2" s="113"/>
      <c r="E2" s="113"/>
      <c r="F2" s="113"/>
      <c r="G2" s="113"/>
      <c r="H2" s="113"/>
      <c r="I2" s="113"/>
    </row>
    <row r="3" spans="2:12" x14ac:dyDescent="0.25">
      <c r="B3" s="114" t="s">
        <v>134</v>
      </c>
      <c r="C3" s="114"/>
      <c r="D3" s="114"/>
      <c r="E3" s="114"/>
      <c r="F3" s="114"/>
      <c r="G3" s="114"/>
      <c r="H3" s="114"/>
      <c r="I3" s="114"/>
    </row>
    <row r="6" spans="2:12" ht="30" x14ac:dyDescent="0.25">
      <c r="B6" s="84" t="s">
        <v>97</v>
      </c>
      <c r="C6" s="84" t="s">
        <v>2</v>
      </c>
      <c r="D6" s="84" t="s">
        <v>3</v>
      </c>
      <c r="E6" s="84" t="s">
        <v>4</v>
      </c>
      <c r="F6" s="84" t="s">
        <v>5</v>
      </c>
      <c r="G6" s="84" t="s">
        <v>6</v>
      </c>
      <c r="H6" s="84" t="s">
        <v>7</v>
      </c>
      <c r="I6" s="84" t="s">
        <v>8</v>
      </c>
    </row>
    <row r="7" spans="2:12" x14ac:dyDescent="0.25">
      <c r="B7" s="83" t="s">
        <v>98</v>
      </c>
      <c r="C7" s="58">
        <f>SUM(C8:C10)</f>
        <v>148485802</v>
      </c>
      <c r="D7" s="58">
        <f>SUM(D8:D10)</f>
        <v>145159918</v>
      </c>
      <c r="E7" s="58">
        <f>SUM(E8:E10)</f>
        <v>3325884</v>
      </c>
      <c r="F7" s="58">
        <f>SUM(F8:F10)</f>
        <v>145019014</v>
      </c>
      <c r="G7" s="58">
        <f>SUM(G8:G10)</f>
        <v>140904</v>
      </c>
      <c r="H7" s="59">
        <f>+D7/C7</f>
        <v>0.97760133322376508</v>
      </c>
      <c r="I7" s="59">
        <f>+F7/C7</f>
        <v>0.9766523940113816</v>
      </c>
    </row>
    <row r="8" spans="2:12" x14ac:dyDescent="0.25">
      <c r="B8" s="63" t="s">
        <v>95</v>
      </c>
      <c r="C8" s="61">
        <f>'01-01'!C58</f>
        <v>90872455</v>
      </c>
      <c r="D8" s="61">
        <f>'01-01'!D58</f>
        <v>89276541</v>
      </c>
      <c r="E8" s="61">
        <f>'01-01'!E58</f>
        <v>1595914</v>
      </c>
      <c r="F8" s="61">
        <f>'01-01'!F58</f>
        <v>89154109</v>
      </c>
      <c r="G8" s="61">
        <f>'01-01'!G58</f>
        <v>122432</v>
      </c>
      <c r="H8" s="62">
        <f>+D8/C8</f>
        <v>0.98243786854883586</v>
      </c>
      <c r="I8" s="62">
        <f>+F8/C8</f>
        <v>0.98109057359570617</v>
      </c>
    </row>
    <row r="9" spans="2:12" x14ac:dyDescent="0.25">
      <c r="B9" s="64" t="s">
        <v>96</v>
      </c>
      <c r="C9" s="61">
        <f>'01-02'!C27</f>
        <v>43576847</v>
      </c>
      <c r="D9" s="61">
        <f>'01-02'!D27</f>
        <v>42453830</v>
      </c>
      <c r="E9" s="61">
        <f>'01-02'!E27</f>
        <v>1123017</v>
      </c>
      <c r="F9" s="61">
        <f>'01-02'!F27</f>
        <v>42441318</v>
      </c>
      <c r="G9" s="61">
        <f>'01-02'!G27</f>
        <v>12512</v>
      </c>
      <c r="H9" s="62">
        <f t="shared" ref="H9:H10" si="0">+D9/C9</f>
        <v>0.97422904415273548</v>
      </c>
      <c r="I9" s="62">
        <f t="shared" ref="I9:I10" si="1">+F9/C9</f>
        <v>0.97394191920310347</v>
      </c>
      <c r="K9" s="27"/>
      <c r="L9" s="27"/>
    </row>
    <row r="10" spans="2:12" x14ac:dyDescent="0.25">
      <c r="B10" s="64" t="s">
        <v>123</v>
      </c>
      <c r="C10" s="61">
        <f>+'01-50'!C19</f>
        <v>14036500</v>
      </c>
      <c r="D10" s="61">
        <f>+'01-50'!D19</f>
        <v>13429547</v>
      </c>
      <c r="E10" s="61">
        <f>+'01-50'!E19</f>
        <v>606953</v>
      </c>
      <c r="F10" s="61">
        <f>+'01-50'!F19</f>
        <v>13423587</v>
      </c>
      <c r="G10" s="61">
        <f>+'01-50'!G19</f>
        <v>5960</v>
      </c>
      <c r="H10" s="62">
        <f t="shared" si="0"/>
        <v>0.95675894988066823</v>
      </c>
      <c r="I10" s="62">
        <f t="shared" si="1"/>
        <v>0.95633434260677519</v>
      </c>
      <c r="K10" s="27"/>
      <c r="L10" s="27"/>
    </row>
    <row r="11" spans="2:12" x14ac:dyDescent="0.25">
      <c r="B11" s="60"/>
      <c r="C11" s="60"/>
      <c r="D11" s="60"/>
      <c r="E11" s="60"/>
      <c r="F11" s="60"/>
      <c r="G11" s="60"/>
      <c r="H11" s="60"/>
      <c r="I11" s="60"/>
    </row>
    <row r="12" spans="2:12" x14ac:dyDescent="0.25">
      <c r="B12" s="41"/>
      <c r="C12" s="41"/>
      <c r="D12" s="41"/>
      <c r="E12" s="41"/>
      <c r="F12" s="41"/>
      <c r="G12" s="41"/>
      <c r="H12" s="41"/>
      <c r="I12" s="41"/>
    </row>
    <row r="16" spans="2:12" x14ac:dyDescent="0.25">
      <c r="D16" s="27"/>
    </row>
    <row r="21" spans="3:3" x14ac:dyDescent="0.25">
      <c r="C21" t="s">
        <v>82</v>
      </c>
    </row>
  </sheetData>
  <mergeCells count="2">
    <mergeCell ref="B2:I2"/>
    <mergeCell ref="B3:I3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outlinePr summaryBelow="0"/>
    <pageSetUpPr fitToPage="1"/>
  </sheetPr>
  <dimension ref="A2:Z67"/>
  <sheetViews>
    <sheetView showGridLines="0" zoomScale="90" zoomScaleNormal="90" workbookViewId="0">
      <pane ySplit="5" topLeftCell="A6" activePane="bottomLeft" state="frozen"/>
      <selection pane="bottomLeft" activeCell="A2" sqref="A2:I2"/>
    </sheetView>
  </sheetViews>
  <sheetFormatPr baseColWidth="10" defaultRowHeight="15" outlineLevelRow="1" x14ac:dyDescent="0.25"/>
  <cols>
    <col min="1" max="1" width="11.42578125" style="26"/>
    <col min="2" max="2" width="55.7109375" customWidth="1"/>
    <col min="3" max="3" width="15.140625" customWidth="1"/>
    <col min="4" max="4" width="14.7109375" customWidth="1"/>
    <col min="5" max="5" width="16.42578125" customWidth="1"/>
    <col min="6" max="6" width="14.5703125" customWidth="1"/>
    <col min="7" max="7" width="15.7109375" customWidth="1"/>
    <col min="8" max="8" width="13" customWidth="1"/>
    <col min="9" max="9" width="11.28515625" customWidth="1"/>
    <col min="10" max="10" width="10.28515625" customWidth="1"/>
    <col min="11" max="11" width="10.7109375" customWidth="1"/>
    <col min="12" max="19" width="11.42578125" customWidth="1"/>
    <col min="20" max="20" width="10.28515625" customWidth="1"/>
    <col min="21" max="21" width="11.28515625" customWidth="1"/>
    <col min="22" max="26" width="11.42578125" customWidth="1"/>
  </cols>
  <sheetData>
    <row r="2" spans="1:26" x14ac:dyDescent="0.25">
      <c r="A2" s="115" t="s">
        <v>29</v>
      </c>
      <c r="B2" s="115"/>
      <c r="C2" s="115"/>
      <c r="D2" s="115"/>
      <c r="E2" s="115"/>
      <c r="F2" s="115"/>
      <c r="G2" s="115"/>
      <c r="H2" s="115"/>
      <c r="I2" s="115"/>
      <c r="J2" s="106"/>
      <c r="K2" s="106"/>
    </row>
    <row r="3" spans="1:26" x14ac:dyDescent="0.25">
      <c r="A3" s="114" t="s">
        <v>134</v>
      </c>
      <c r="B3" s="114"/>
      <c r="C3" s="114"/>
      <c r="D3" s="114"/>
      <c r="E3" s="114"/>
      <c r="F3" s="114"/>
      <c r="G3" s="114"/>
      <c r="H3" s="114"/>
      <c r="I3" s="114"/>
      <c r="J3" s="105"/>
      <c r="K3" s="105"/>
    </row>
    <row r="4" spans="1:26" ht="23.25" customHeight="1" x14ac:dyDescent="0.25"/>
    <row r="5" spans="1:26" ht="25.5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4" t="s">
        <v>7</v>
      </c>
      <c r="I5" s="4" t="s">
        <v>8</v>
      </c>
    </row>
    <row r="6" spans="1:26" x14ac:dyDescent="0.25">
      <c r="A6" s="5">
        <v>21</v>
      </c>
      <c r="B6" s="6" t="s">
        <v>9</v>
      </c>
      <c r="C6" s="7">
        <f>SUM(C7:C13)</f>
        <v>19841577</v>
      </c>
      <c r="D6" s="7">
        <f>SUM(D7:D13)</f>
        <v>19807086</v>
      </c>
      <c r="E6" s="7">
        <f>+C6-D6</f>
        <v>34491</v>
      </c>
      <c r="F6" s="7">
        <f>SUM(F7:F13)</f>
        <v>19800578</v>
      </c>
      <c r="G6" s="7">
        <f>+D6-F6</f>
        <v>6508</v>
      </c>
      <c r="H6" s="8">
        <f>+D6/C6</f>
        <v>0.9982616805105764</v>
      </c>
      <c r="I6" s="8">
        <f t="shared" ref="I6:I57" si="0">+F6/C6</f>
        <v>0.99793368238824964</v>
      </c>
      <c r="S6" s="27"/>
      <c r="T6" s="27"/>
      <c r="U6" s="27"/>
      <c r="V6" s="27"/>
      <c r="W6" s="27"/>
      <c r="X6" s="27"/>
      <c r="Y6" s="27"/>
      <c r="Z6" s="27"/>
    </row>
    <row r="7" spans="1:26" outlineLevel="1" x14ac:dyDescent="0.25">
      <c r="A7" s="5"/>
      <c r="B7" s="9" t="s">
        <v>10</v>
      </c>
      <c r="C7" s="109">
        <f>19583577-SUM(C8:C13)+158000+100000</f>
        <v>18906096</v>
      </c>
      <c r="D7" s="10">
        <f>19807086-SUM(D8:D13)</f>
        <v>18898237</v>
      </c>
      <c r="E7" s="81">
        <f t="shared" ref="E7:E57" si="1">+C7-D7</f>
        <v>7859</v>
      </c>
      <c r="F7" s="10">
        <f>19800578-SUM(F8:F13)</f>
        <v>18896973</v>
      </c>
      <c r="G7" s="81">
        <f t="shared" ref="G7:G57" si="2">+D7-F7</f>
        <v>1264</v>
      </c>
      <c r="H7" s="11">
        <f t="shared" ref="H7:H53" si="3">+D7/C7</f>
        <v>0.99958431396942027</v>
      </c>
      <c r="I7" s="11">
        <f t="shared" si="0"/>
        <v>0.99951745722649454</v>
      </c>
      <c r="S7" s="27"/>
      <c r="T7" s="27"/>
      <c r="U7" s="27"/>
      <c r="V7" s="27"/>
      <c r="W7" s="27"/>
      <c r="X7" s="27"/>
      <c r="Y7" s="27"/>
      <c r="Z7" s="27"/>
    </row>
    <row r="8" spans="1:26" outlineLevel="1" x14ac:dyDescent="0.25">
      <c r="A8" s="5"/>
      <c r="B8" s="9" t="s">
        <v>11</v>
      </c>
      <c r="C8" s="10">
        <v>235982</v>
      </c>
      <c r="D8" s="10">
        <v>235982</v>
      </c>
      <c r="E8" s="81">
        <f t="shared" si="1"/>
        <v>0</v>
      </c>
      <c r="F8" s="10">
        <v>233644</v>
      </c>
      <c r="G8" s="81">
        <f t="shared" si="2"/>
        <v>2338</v>
      </c>
      <c r="H8" s="11">
        <f t="shared" si="3"/>
        <v>1</v>
      </c>
      <c r="I8" s="11">
        <f t="shared" si="0"/>
        <v>0.9900924646795094</v>
      </c>
      <c r="S8" s="27"/>
      <c r="T8" s="27"/>
      <c r="U8" s="27"/>
      <c r="V8" s="27"/>
      <c r="W8" s="27"/>
      <c r="X8" s="27"/>
      <c r="Y8" s="27"/>
      <c r="Z8" s="27"/>
    </row>
    <row r="9" spans="1:26" outlineLevel="1" x14ac:dyDescent="0.25">
      <c r="A9" s="5"/>
      <c r="B9" s="9" t="s">
        <v>12</v>
      </c>
      <c r="C9" s="10">
        <v>4592</v>
      </c>
      <c r="D9" s="10">
        <v>4578</v>
      </c>
      <c r="E9" s="81">
        <f t="shared" si="1"/>
        <v>14</v>
      </c>
      <c r="F9" s="10">
        <v>4578</v>
      </c>
      <c r="G9" s="81">
        <f t="shared" si="2"/>
        <v>0</v>
      </c>
      <c r="H9" s="11">
        <f t="shared" si="3"/>
        <v>0.99695121951219512</v>
      </c>
      <c r="I9" s="11">
        <f t="shared" si="0"/>
        <v>0.99695121951219512</v>
      </c>
      <c r="S9" s="27"/>
      <c r="T9" s="27"/>
      <c r="U9" s="27"/>
      <c r="V9" s="27"/>
      <c r="W9" s="27"/>
      <c r="X9" s="27"/>
      <c r="Y9" s="27"/>
      <c r="Z9" s="27"/>
    </row>
    <row r="10" spans="1:26" outlineLevel="1" x14ac:dyDescent="0.25">
      <c r="A10" s="5"/>
      <c r="B10" s="9" t="s">
        <v>13</v>
      </c>
      <c r="C10" s="10">
        <v>57272</v>
      </c>
      <c r="D10" s="10">
        <v>47106</v>
      </c>
      <c r="E10" s="81">
        <f t="shared" si="1"/>
        <v>10166</v>
      </c>
      <c r="F10" s="10">
        <v>45117</v>
      </c>
      <c r="G10" s="81">
        <f t="shared" si="2"/>
        <v>1989</v>
      </c>
      <c r="H10" s="11">
        <f t="shared" si="3"/>
        <v>0.82249615868138004</v>
      </c>
      <c r="I10" s="11">
        <f t="shared" si="0"/>
        <v>0.78776714624947619</v>
      </c>
      <c r="S10" s="27"/>
      <c r="T10" s="27"/>
      <c r="U10" s="27"/>
      <c r="V10" s="27"/>
      <c r="W10" s="27"/>
      <c r="X10" s="27"/>
      <c r="Y10" s="27"/>
      <c r="Z10" s="27"/>
    </row>
    <row r="11" spans="1:26" outlineLevel="1" x14ac:dyDescent="0.25">
      <c r="A11" s="5"/>
      <c r="B11" s="9" t="s">
        <v>14</v>
      </c>
      <c r="C11" s="10">
        <v>0</v>
      </c>
      <c r="D11" s="10">
        <v>0</v>
      </c>
      <c r="E11" s="81">
        <f t="shared" si="1"/>
        <v>0</v>
      </c>
      <c r="F11" s="10">
        <v>0</v>
      </c>
      <c r="G11" s="81">
        <f t="shared" si="2"/>
        <v>0</v>
      </c>
      <c r="H11" s="11" t="s">
        <v>94</v>
      </c>
      <c r="I11" s="11" t="s">
        <v>94</v>
      </c>
      <c r="S11" s="27"/>
      <c r="T11" s="27"/>
      <c r="U11" s="27"/>
      <c r="V11" s="27"/>
      <c r="W11" s="27"/>
      <c r="X11" s="27"/>
      <c r="Y11" s="27"/>
      <c r="Z11" s="27"/>
    </row>
    <row r="12" spans="1:26" outlineLevel="1" x14ac:dyDescent="0.25">
      <c r="A12" s="46"/>
      <c r="B12" s="92" t="s">
        <v>15</v>
      </c>
      <c r="C12" s="93">
        <v>466796</v>
      </c>
      <c r="D12" s="93">
        <v>450344</v>
      </c>
      <c r="E12" s="86">
        <f t="shared" si="1"/>
        <v>16452</v>
      </c>
      <c r="F12" s="93">
        <v>449427</v>
      </c>
      <c r="G12" s="81">
        <f t="shared" si="2"/>
        <v>917</v>
      </c>
      <c r="H12" s="94">
        <f t="shared" si="3"/>
        <v>0.96475548205211703</v>
      </c>
      <c r="I12" s="94">
        <f t="shared" si="0"/>
        <v>0.96279102648694503</v>
      </c>
      <c r="S12" s="27"/>
      <c r="T12" s="27"/>
      <c r="U12" s="27"/>
      <c r="V12" s="27"/>
      <c r="W12" s="27"/>
      <c r="X12" s="27"/>
      <c r="Y12" s="27"/>
      <c r="Z12" s="27"/>
    </row>
    <row r="13" spans="1:26" outlineLevel="1" x14ac:dyDescent="0.25">
      <c r="A13" s="53"/>
      <c r="B13" s="99" t="s">
        <v>124</v>
      </c>
      <c r="C13" s="10">
        <v>170839</v>
      </c>
      <c r="D13" s="10">
        <v>170839</v>
      </c>
      <c r="E13" s="35">
        <f t="shared" si="1"/>
        <v>0</v>
      </c>
      <c r="F13" s="10">
        <v>170839</v>
      </c>
      <c r="G13" s="17">
        <f t="shared" si="2"/>
        <v>0</v>
      </c>
      <c r="H13" s="11">
        <f t="shared" si="3"/>
        <v>1</v>
      </c>
      <c r="I13" s="11">
        <f t="shared" si="0"/>
        <v>1</v>
      </c>
      <c r="S13" s="27"/>
      <c r="T13" s="27"/>
      <c r="U13" s="27"/>
      <c r="V13" s="27"/>
      <c r="W13" s="27"/>
      <c r="X13" s="27"/>
      <c r="Y13" s="27"/>
      <c r="Z13" s="27"/>
    </row>
    <row r="14" spans="1:26" x14ac:dyDescent="0.25">
      <c r="A14" s="95">
        <v>22</v>
      </c>
      <c r="B14" s="96" t="s">
        <v>16</v>
      </c>
      <c r="C14" s="110">
        <f>4457190-695015</f>
        <v>3762175</v>
      </c>
      <c r="D14" s="97">
        <v>3528844</v>
      </c>
      <c r="E14" s="97">
        <f t="shared" si="1"/>
        <v>233331</v>
      </c>
      <c r="F14" s="97">
        <v>3468799</v>
      </c>
      <c r="G14" s="97">
        <f t="shared" si="2"/>
        <v>60045</v>
      </c>
      <c r="H14" s="98">
        <f t="shared" si="3"/>
        <v>0.93797975904895436</v>
      </c>
      <c r="I14" s="98">
        <f t="shared" si="0"/>
        <v>0.92201957644181887</v>
      </c>
      <c r="K14" s="27"/>
      <c r="S14" s="27"/>
      <c r="T14" s="27"/>
      <c r="U14" s="27"/>
      <c r="V14" s="27"/>
      <c r="W14" s="27"/>
      <c r="X14" s="27"/>
      <c r="Y14" s="27"/>
      <c r="Z14" s="27"/>
    </row>
    <row r="15" spans="1:26" x14ac:dyDescent="0.25">
      <c r="A15" s="5">
        <v>23</v>
      </c>
      <c r="B15" s="13" t="s">
        <v>30</v>
      </c>
      <c r="C15" s="7">
        <v>138364</v>
      </c>
      <c r="D15" s="7">
        <v>138364</v>
      </c>
      <c r="E15" s="7">
        <f t="shared" si="1"/>
        <v>0</v>
      </c>
      <c r="F15" s="7">
        <v>138364</v>
      </c>
      <c r="G15" s="7">
        <f t="shared" si="2"/>
        <v>0</v>
      </c>
      <c r="H15" s="8">
        <f t="shared" si="3"/>
        <v>1</v>
      </c>
      <c r="I15" s="8">
        <f t="shared" si="0"/>
        <v>1</v>
      </c>
      <c r="S15" s="27"/>
      <c r="T15" s="27"/>
      <c r="U15" s="27"/>
      <c r="V15" s="27"/>
      <c r="W15" s="27"/>
      <c r="X15" s="27"/>
      <c r="Y15" s="27"/>
      <c r="Z15" s="27"/>
    </row>
    <row r="16" spans="1:26" x14ac:dyDescent="0.25">
      <c r="A16" s="5">
        <v>24</v>
      </c>
      <c r="B16" s="13" t="s">
        <v>31</v>
      </c>
      <c r="C16" s="7">
        <f>+C17+C27+C31+C41</f>
        <v>59123203</v>
      </c>
      <c r="D16" s="7">
        <f>+D17+D27+D31+D41</f>
        <v>57893662</v>
      </c>
      <c r="E16" s="7">
        <f t="shared" si="1"/>
        <v>1229541</v>
      </c>
      <c r="F16" s="7">
        <f>+F17+F27+F31+F41</f>
        <v>57837807</v>
      </c>
      <c r="G16" s="7">
        <f t="shared" si="2"/>
        <v>55855</v>
      </c>
      <c r="H16" s="8">
        <f t="shared" si="3"/>
        <v>0.97920374848433023</v>
      </c>
      <c r="I16" s="8">
        <f t="shared" si="0"/>
        <v>0.97825902632507922</v>
      </c>
      <c r="S16" s="27"/>
      <c r="T16" s="27"/>
      <c r="U16" s="27"/>
      <c r="V16" s="27"/>
      <c r="W16" s="27"/>
      <c r="X16" s="27"/>
      <c r="Y16" s="27"/>
      <c r="Z16" s="27"/>
    </row>
    <row r="17" spans="1:26" s="32" customFormat="1" x14ac:dyDescent="0.25">
      <c r="A17" s="28" t="s">
        <v>32</v>
      </c>
      <c r="B17" s="29" t="s">
        <v>33</v>
      </c>
      <c r="C17" s="30">
        <f>SUM(C18:C26)</f>
        <v>21117998</v>
      </c>
      <c r="D17" s="30">
        <f>SUM(D18:D26)</f>
        <v>20999795</v>
      </c>
      <c r="E17" s="82">
        <f t="shared" si="1"/>
        <v>118203</v>
      </c>
      <c r="F17" s="30">
        <f>SUM(F18:F26)</f>
        <v>20999795</v>
      </c>
      <c r="G17" s="82">
        <f t="shared" si="2"/>
        <v>0</v>
      </c>
      <c r="H17" s="31">
        <f t="shared" si="3"/>
        <v>0.99440273647151589</v>
      </c>
      <c r="I17" s="31">
        <f t="shared" si="0"/>
        <v>0.99440273647151589</v>
      </c>
      <c r="L17" s="57"/>
      <c r="S17" s="27"/>
      <c r="T17" s="27"/>
      <c r="U17" s="27"/>
      <c r="V17" s="27"/>
      <c r="W17" s="27"/>
      <c r="X17" s="27"/>
      <c r="Y17" s="27"/>
      <c r="Z17" s="27"/>
    </row>
    <row r="18" spans="1:26" x14ac:dyDescent="0.25">
      <c r="A18" s="18" t="s">
        <v>34</v>
      </c>
      <c r="B18" s="20" t="s">
        <v>35</v>
      </c>
      <c r="C18" s="17">
        <v>841804</v>
      </c>
      <c r="D18" s="17">
        <v>841804</v>
      </c>
      <c r="E18" s="81">
        <f t="shared" si="1"/>
        <v>0</v>
      </c>
      <c r="F18" s="17">
        <v>841804</v>
      </c>
      <c r="G18" s="81">
        <f t="shared" si="2"/>
        <v>0</v>
      </c>
      <c r="H18" s="11">
        <f t="shared" si="3"/>
        <v>1</v>
      </c>
      <c r="I18" s="11">
        <f t="shared" si="0"/>
        <v>1</v>
      </c>
      <c r="S18" s="27"/>
      <c r="T18" s="27"/>
      <c r="U18" s="27"/>
      <c r="V18" s="27"/>
      <c r="W18" s="27"/>
      <c r="X18" s="27"/>
      <c r="Y18" s="27"/>
      <c r="Z18" s="27"/>
    </row>
    <row r="19" spans="1:26" x14ac:dyDescent="0.25">
      <c r="A19" s="18" t="s">
        <v>36</v>
      </c>
      <c r="B19" s="20" t="s">
        <v>37</v>
      </c>
      <c r="C19" s="17">
        <v>3037505</v>
      </c>
      <c r="D19" s="17">
        <v>3037505</v>
      </c>
      <c r="E19" s="81">
        <f t="shared" si="1"/>
        <v>0</v>
      </c>
      <c r="F19" s="17">
        <v>3037505</v>
      </c>
      <c r="G19" s="81">
        <f t="shared" si="2"/>
        <v>0</v>
      </c>
      <c r="H19" s="11">
        <f t="shared" si="3"/>
        <v>1</v>
      </c>
      <c r="I19" s="11">
        <f t="shared" si="0"/>
        <v>1</v>
      </c>
      <c r="S19" s="27"/>
      <c r="T19" s="27"/>
      <c r="U19" s="27"/>
      <c r="V19" s="27"/>
      <c r="W19" s="27"/>
      <c r="X19" s="27"/>
      <c r="Y19" s="27"/>
      <c r="Z19" s="27"/>
    </row>
    <row r="20" spans="1:26" x14ac:dyDescent="0.25">
      <c r="A20" s="18" t="s">
        <v>38</v>
      </c>
      <c r="B20" s="20" t="s">
        <v>39</v>
      </c>
      <c r="C20" s="17">
        <v>3295978</v>
      </c>
      <c r="D20" s="17">
        <v>3295978</v>
      </c>
      <c r="E20" s="81">
        <f t="shared" si="1"/>
        <v>0</v>
      </c>
      <c r="F20" s="17">
        <v>3295978</v>
      </c>
      <c r="G20" s="81">
        <f t="shared" si="2"/>
        <v>0</v>
      </c>
      <c r="H20" s="11">
        <f t="shared" si="3"/>
        <v>1</v>
      </c>
      <c r="I20" s="11">
        <f t="shared" si="0"/>
        <v>1</v>
      </c>
      <c r="S20" s="27"/>
      <c r="T20" s="27"/>
      <c r="U20" s="27"/>
      <c r="V20" s="27"/>
      <c r="W20" s="27"/>
      <c r="X20" s="27"/>
      <c r="Y20" s="27"/>
      <c r="Z20" s="27"/>
    </row>
    <row r="21" spans="1:26" x14ac:dyDescent="0.25">
      <c r="A21" s="18" t="s">
        <v>40</v>
      </c>
      <c r="B21" s="20" t="s">
        <v>41</v>
      </c>
      <c r="C21" s="17">
        <v>2066093</v>
      </c>
      <c r="D21" s="17">
        <v>2066093</v>
      </c>
      <c r="E21" s="81">
        <f t="shared" si="1"/>
        <v>0</v>
      </c>
      <c r="F21" s="17">
        <v>2066093</v>
      </c>
      <c r="G21" s="81">
        <f t="shared" si="2"/>
        <v>0</v>
      </c>
      <c r="H21" s="11">
        <f t="shared" si="3"/>
        <v>1</v>
      </c>
      <c r="I21" s="11">
        <f t="shared" si="0"/>
        <v>1</v>
      </c>
      <c r="S21" s="27"/>
      <c r="T21" s="27"/>
      <c r="U21" s="27"/>
      <c r="V21" s="27"/>
      <c r="W21" s="27"/>
      <c r="X21" s="27"/>
      <c r="Y21" s="27"/>
      <c r="Z21" s="27"/>
    </row>
    <row r="22" spans="1:26" x14ac:dyDescent="0.25">
      <c r="A22" s="18" t="s">
        <v>42</v>
      </c>
      <c r="B22" s="20" t="s">
        <v>43</v>
      </c>
      <c r="C22" s="17">
        <v>3281843</v>
      </c>
      <c r="D22" s="17">
        <v>3168542</v>
      </c>
      <c r="E22" s="81">
        <f t="shared" si="1"/>
        <v>113301</v>
      </c>
      <c r="F22" s="17">
        <v>3168542</v>
      </c>
      <c r="G22" s="81">
        <f t="shared" si="2"/>
        <v>0</v>
      </c>
      <c r="H22" s="11">
        <f t="shared" si="3"/>
        <v>0.96547641066315482</v>
      </c>
      <c r="I22" s="11">
        <f t="shared" si="0"/>
        <v>0.96547641066315482</v>
      </c>
      <c r="J22" s="27"/>
      <c r="S22" s="27"/>
      <c r="T22" s="27"/>
      <c r="U22" s="27"/>
      <c r="V22" s="27"/>
      <c r="W22" s="27"/>
      <c r="X22" s="27"/>
      <c r="Y22" s="27"/>
      <c r="Z22" s="27"/>
    </row>
    <row r="23" spans="1:26" x14ac:dyDescent="0.25">
      <c r="A23" s="18" t="s">
        <v>44</v>
      </c>
      <c r="B23" s="20" t="s">
        <v>45</v>
      </c>
      <c r="C23" s="17">
        <v>3642710</v>
      </c>
      <c r="D23" s="17">
        <v>3642710</v>
      </c>
      <c r="E23" s="81">
        <f t="shared" si="1"/>
        <v>0</v>
      </c>
      <c r="F23" s="17">
        <v>3642710</v>
      </c>
      <c r="G23" s="81">
        <f t="shared" si="2"/>
        <v>0</v>
      </c>
      <c r="H23" s="11">
        <f t="shared" si="3"/>
        <v>1</v>
      </c>
      <c r="I23" s="11">
        <f t="shared" si="0"/>
        <v>1</v>
      </c>
      <c r="J23" s="27"/>
      <c r="S23" s="27"/>
      <c r="T23" s="27"/>
      <c r="U23" s="27"/>
      <c r="V23" s="27"/>
      <c r="W23" s="27"/>
      <c r="X23" s="27"/>
      <c r="Y23" s="27"/>
      <c r="Z23" s="27"/>
    </row>
    <row r="24" spans="1:26" x14ac:dyDescent="0.25">
      <c r="A24" s="18" t="s">
        <v>46</v>
      </c>
      <c r="B24" s="20" t="s">
        <v>47</v>
      </c>
      <c r="C24" s="17">
        <v>1224317</v>
      </c>
      <c r="D24" s="17">
        <v>1224317</v>
      </c>
      <c r="E24" s="81">
        <f t="shared" si="1"/>
        <v>0</v>
      </c>
      <c r="F24" s="17">
        <v>1224317</v>
      </c>
      <c r="G24" s="81">
        <f t="shared" si="2"/>
        <v>0</v>
      </c>
      <c r="H24" s="11">
        <f t="shared" si="3"/>
        <v>1</v>
      </c>
      <c r="I24" s="11">
        <f t="shared" si="0"/>
        <v>1</v>
      </c>
      <c r="S24" s="27"/>
      <c r="T24" s="27"/>
      <c r="U24" s="27"/>
      <c r="V24" s="27"/>
      <c r="W24" s="27"/>
      <c r="X24" s="27"/>
      <c r="Y24" s="27"/>
      <c r="Z24" s="27"/>
    </row>
    <row r="25" spans="1:26" x14ac:dyDescent="0.25">
      <c r="A25" s="33" t="s">
        <v>48</v>
      </c>
      <c r="B25" s="33" t="s">
        <v>49</v>
      </c>
      <c r="C25" s="17">
        <v>1627748</v>
      </c>
      <c r="D25" s="17">
        <v>1627746</v>
      </c>
      <c r="E25" s="81">
        <f t="shared" si="1"/>
        <v>2</v>
      </c>
      <c r="F25" s="17">
        <v>1627746</v>
      </c>
      <c r="G25" s="81">
        <f t="shared" si="2"/>
        <v>0</v>
      </c>
      <c r="H25" s="11">
        <f t="shared" si="3"/>
        <v>0.99999877130858095</v>
      </c>
      <c r="I25" s="11">
        <f t="shared" si="0"/>
        <v>0.99999877130858095</v>
      </c>
      <c r="S25" s="27"/>
      <c r="T25" s="27"/>
      <c r="U25" s="27"/>
      <c r="V25" s="27"/>
      <c r="W25" s="27"/>
      <c r="X25" s="27"/>
      <c r="Y25" s="27"/>
      <c r="Z25" s="27"/>
    </row>
    <row r="26" spans="1:26" x14ac:dyDescent="0.25">
      <c r="A26" s="33" t="s">
        <v>125</v>
      </c>
      <c r="B26" s="20" t="s">
        <v>128</v>
      </c>
      <c r="C26" s="17">
        <v>2100000</v>
      </c>
      <c r="D26" s="17">
        <v>2095100</v>
      </c>
      <c r="E26" s="81">
        <f t="shared" si="1"/>
        <v>4900</v>
      </c>
      <c r="F26" s="17">
        <v>2095100</v>
      </c>
      <c r="G26" s="81">
        <f t="shared" si="2"/>
        <v>0</v>
      </c>
      <c r="H26" s="11">
        <f t="shared" si="3"/>
        <v>0.9976666666666667</v>
      </c>
      <c r="I26" s="11">
        <f t="shared" si="0"/>
        <v>0.9976666666666667</v>
      </c>
      <c r="S26" s="27"/>
      <c r="T26" s="27"/>
      <c r="U26" s="27"/>
      <c r="V26" s="27"/>
      <c r="W26" s="27"/>
      <c r="X26" s="27"/>
      <c r="Y26" s="27"/>
      <c r="Z26" s="27"/>
    </row>
    <row r="27" spans="1:26" s="32" customFormat="1" x14ac:dyDescent="0.25">
      <c r="A27" s="28" t="s">
        <v>50</v>
      </c>
      <c r="B27" s="29" t="s">
        <v>51</v>
      </c>
      <c r="C27" s="30">
        <f>SUM(C28:C30)</f>
        <v>9181616</v>
      </c>
      <c r="D27" s="30">
        <f>SUM(D28:D30)</f>
        <v>9181616</v>
      </c>
      <c r="E27" s="82">
        <f t="shared" si="1"/>
        <v>0</v>
      </c>
      <c r="F27" s="30">
        <f>SUM(F28:F30)</f>
        <v>9181616</v>
      </c>
      <c r="G27" s="82">
        <f t="shared" si="2"/>
        <v>0</v>
      </c>
      <c r="H27" s="31">
        <f t="shared" si="3"/>
        <v>1</v>
      </c>
      <c r="I27" s="31">
        <f t="shared" si="0"/>
        <v>1</v>
      </c>
      <c r="S27" s="27"/>
      <c r="T27" s="27"/>
      <c r="U27" s="27"/>
      <c r="V27" s="27"/>
      <c r="W27" s="27"/>
      <c r="X27" s="27"/>
      <c r="Y27" s="27"/>
      <c r="Z27" s="27"/>
    </row>
    <row r="28" spans="1:26" x14ac:dyDescent="0.25">
      <c r="A28" s="18" t="s">
        <v>126</v>
      </c>
      <c r="B28" s="20" t="s">
        <v>129</v>
      </c>
      <c r="C28" s="17">
        <v>4404487</v>
      </c>
      <c r="D28" s="17">
        <v>4404487</v>
      </c>
      <c r="E28" s="81">
        <f t="shared" si="1"/>
        <v>0</v>
      </c>
      <c r="F28" s="17">
        <v>4404487</v>
      </c>
      <c r="G28" s="81">
        <f t="shared" si="2"/>
        <v>0</v>
      </c>
      <c r="H28" s="11">
        <f t="shared" si="3"/>
        <v>1</v>
      </c>
      <c r="I28" s="11">
        <f t="shared" si="0"/>
        <v>1</v>
      </c>
      <c r="S28" s="27"/>
      <c r="T28" s="27"/>
      <c r="U28" s="27"/>
      <c r="V28" s="27"/>
      <c r="W28" s="27"/>
      <c r="X28" s="27"/>
      <c r="Y28" s="27"/>
      <c r="Z28" s="27"/>
    </row>
    <row r="29" spans="1:26" x14ac:dyDescent="0.25">
      <c r="A29" s="18" t="s">
        <v>52</v>
      </c>
      <c r="B29" s="20" t="s">
        <v>53</v>
      </c>
      <c r="C29" s="17">
        <v>993879</v>
      </c>
      <c r="D29" s="17">
        <v>993879</v>
      </c>
      <c r="E29" s="81">
        <f t="shared" si="1"/>
        <v>0</v>
      </c>
      <c r="F29" s="17">
        <v>993879</v>
      </c>
      <c r="G29" s="81">
        <f t="shared" si="2"/>
        <v>0</v>
      </c>
      <c r="H29" s="11">
        <f t="shared" si="3"/>
        <v>1</v>
      </c>
      <c r="I29" s="11">
        <f t="shared" si="0"/>
        <v>1</v>
      </c>
      <c r="S29" s="27"/>
      <c r="T29" s="27"/>
      <c r="U29" s="27"/>
      <c r="V29" s="27"/>
      <c r="W29" s="27"/>
      <c r="X29" s="27"/>
      <c r="Y29" s="27"/>
      <c r="Z29" s="27"/>
    </row>
    <row r="30" spans="1:26" x14ac:dyDescent="0.25">
      <c r="A30" s="18" t="s">
        <v>127</v>
      </c>
      <c r="B30" s="20" t="s">
        <v>130</v>
      </c>
      <c r="C30" s="17">
        <v>3783250</v>
      </c>
      <c r="D30" s="17">
        <v>3783250</v>
      </c>
      <c r="E30" s="81">
        <f t="shared" si="1"/>
        <v>0</v>
      </c>
      <c r="F30" s="17">
        <v>3783250</v>
      </c>
      <c r="G30" s="81">
        <f t="shared" si="2"/>
        <v>0</v>
      </c>
      <c r="H30" s="11">
        <f t="shared" si="3"/>
        <v>1</v>
      </c>
      <c r="I30" s="11">
        <f t="shared" si="0"/>
        <v>1</v>
      </c>
      <c r="S30" s="27"/>
      <c r="T30" s="27"/>
      <c r="U30" s="27"/>
      <c r="V30" s="27"/>
      <c r="W30" s="27"/>
      <c r="X30" s="27"/>
      <c r="Y30" s="27"/>
      <c r="Z30" s="27"/>
    </row>
    <row r="31" spans="1:26" s="32" customFormat="1" x14ac:dyDescent="0.25">
      <c r="A31" s="28" t="s">
        <v>54</v>
      </c>
      <c r="B31" s="29" t="s">
        <v>55</v>
      </c>
      <c r="C31" s="30">
        <f>SUM(C32:C40)</f>
        <v>28757124</v>
      </c>
      <c r="D31" s="30">
        <f>SUM(D32:D40)</f>
        <v>27646369</v>
      </c>
      <c r="E31" s="82">
        <f t="shared" si="1"/>
        <v>1110755</v>
      </c>
      <c r="F31" s="30">
        <f>SUM(F32:F40)</f>
        <v>27590514</v>
      </c>
      <c r="G31" s="82">
        <f t="shared" si="2"/>
        <v>55855</v>
      </c>
      <c r="H31" s="31">
        <f t="shared" si="3"/>
        <v>0.96137461451291162</v>
      </c>
      <c r="I31" s="31">
        <f t="shared" si="0"/>
        <v>0.95943231318959432</v>
      </c>
      <c r="S31" s="27"/>
      <c r="T31" s="27"/>
      <c r="U31" s="27"/>
      <c r="V31" s="27"/>
      <c r="W31" s="27"/>
      <c r="X31" s="27"/>
      <c r="Y31" s="27"/>
      <c r="Z31" s="27"/>
    </row>
    <row r="32" spans="1:26" x14ac:dyDescent="0.25">
      <c r="A32" s="18" t="s">
        <v>56</v>
      </c>
      <c r="B32" s="20" t="s">
        <v>57</v>
      </c>
      <c r="C32" s="35">
        <f>9778922-1300000</f>
        <v>8478922</v>
      </c>
      <c r="D32" s="17">
        <v>8109548</v>
      </c>
      <c r="E32" s="81">
        <f t="shared" si="1"/>
        <v>369374</v>
      </c>
      <c r="F32" s="17">
        <v>8098990</v>
      </c>
      <c r="G32" s="81">
        <f t="shared" si="2"/>
        <v>10558</v>
      </c>
      <c r="H32" s="11">
        <f t="shared" si="3"/>
        <v>0.95643620733862156</v>
      </c>
      <c r="I32" s="11">
        <f t="shared" si="0"/>
        <v>0.9551910018750025</v>
      </c>
      <c r="K32" s="27"/>
      <c r="S32" s="27"/>
      <c r="T32" s="27"/>
      <c r="U32" s="27"/>
      <c r="V32" s="27"/>
      <c r="W32" s="27"/>
      <c r="X32" s="27"/>
      <c r="Y32" s="27"/>
      <c r="Z32" s="27"/>
    </row>
    <row r="33" spans="1:26" s="65" customFormat="1" ht="14.25" customHeight="1" x14ac:dyDescent="0.25">
      <c r="A33" s="87" t="s">
        <v>58</v>
      </c>
      <c r="B33" s="34" t="s">
        <v>59</v>
      </c>
      <c r="C33" s="35">
        <f>3354803-400000</f>
        <v>2954803</v>
      </c>
      <c r="D33" s="35">
        <v>2862833</v>
      </c>
      <c r="E33" s="86">
        <f t="shared" si="1"/>
        <v>91970</v>
      </c>
      <c r="F33" s="35">
        <v>2855572</v>
      </c>
      <c r="G33" s="86">
        <f t="shared" si="2"/>
        <v>7261</v>
      </c>
      <c r="H33" s="88">
        <f t="shared" si="3"/>
        <v>0.96887440550182191</v>
      </c>
      <c r="I33" s="88">
        <f t="shared" si="0"/>
        <v>0.96641705047679993</v>
      </c>
      <c r="S33" s="89"/>
      <c r="T33" s="89"/>
      <c r="U33" s="89"/>
      <c r="V33" s="89"/>
      <c r="W33" s="89"/>
      <c r="X33" s="89"/>
      <c r="Y33" s="89"/>
      <c r="Z33" s="89"/>
    </row>
    <row r="34" spans="1:26" x14ac:dyDescent="0.25">
      <c r="A34" s="18" t="s">
        <v>60</v>
      </c>
      <c r="B34" s="34" t="s">
        <v>61</v>
      </c>
      <c r="C34" s="35">
        <f>1686497-319000</f>
        <v>1367497</v>
      </c>
      <c r="D34" s="35">
        <v>1331189</v>
      </c>
      <c r="E34" s="81">
        <f t="shared" si="1"/>
        <v>36308</v>
      </c>
      <c r="F34" s="35">
        <v>1331189</v>
      </c>
      <c r="G34" s="81">
        <f t="shared" si="2"/>
        <v>0</v>
      </c>
      <c r="H34" s="11">
        <f t="shared" si="3"/>
        <v>0.97344930189974821</v>
      </c>
      <c r="I34" s="11">
        <f t="shared" si="0"/>
        <v>0.97344930189974821</v>
      </c>
      <c r="S34" s="27"/>
      <c r="T34" s="27"/>
      <c r="U34" s="27"/>
      <c r="V34" s="27"/>
      <c r="W34" s="27"/>
      <c r="X34" s="27"/>
      <c r="Y34" s="27"/>
      <c r="Z34" s="27"/>
    </row>
    <row r="35" spans="1:26" x14ac:dyDescent="0.25">
      <c r="A35" s="18" t="s">
        <v>62</v>
      </c>
      <c r="B35" s="20" t="s">
        <v>63</v>
      </c>
      <c r="C35" s="35">
        <f>3260338-32000-26000</f>
        <v>3202338</v>
      </c>
      <c r="D35" s="17">
        <v>3113316</v>
      </c>
      <c r="E35" s="81">
        <f t="shared" si="1"/>
        <v>89022</v>
      </c>
      <c r="F35" s="17">
        <v>3108948</v>
      </c>
      <c r="G35" s="81">
        <f t="shared" si="2"/>
        <v>4368</v>
      </c>
      <c r="H35" s="11">
        <f t="shared" si="3"/>
        <v>0.97220093569136046</v>
      </c>
      <c r="I35" s="11">
        <f t="shared" si="0"/>
        <v>0.97083693226636292</v>
      </c>
      <c r="S35" s="27"/>
      <c r="T35" s="27"/>
      <c r="U35" s="27"/>
      <c r="V35" s="27"/>
      <c r="W35" s="27"/>
      <c r="X35" s="27"/>
      <c r="Y35" s="27"/>
      <c r="Z35" s="27"/>
    </row>
    <row r="36" spans="1:26" x14ac:dyDescent="0.25">
      <c r="A36" s="18" t="s">
        <v>64</v>
      </c>
      <c r="B36" s="34" t="s">
        <v>65</v>
      </c>
      <c r="C36" s="35">
        <f>2568198-196000</f>
        <v>2372198</v>
      </c>
      <c r="D36" s="35">
        <v>2053467</v>
      </c>
      <c r="E36" s="81">
        <f t="shared" si="1"/>
        <v>318731</v>
      </c>
      <c r="F36" s="35">
        <v>2020905</v>
      </c>
      <c r="G36" s="81">
        <f t="shared" si="2"/>
        <v>32562</v>
      </c>
      <c r="H36" s="11">
        <f t="shared" si="3"/>
        <v>0.86563895593875384</v>
      </c>
      <c r="I36" s="11">
        <f t="shared" si="0"/>
        <v>0.85191244575705738</v>
      </c>
      <c r="S36" s="27"/>
      <c r="T36" s="27"/>
      <c r="U36" s="27"/>
      <c r="V36" s="27"/>
      <c r="W36" s="27"/>
      <c r="X36" s="27"/>
      <c r="Y36" s="27"/>
      <c r="Z36" s="27"/>
    </row>
    <row r="37" spans="1:26" x14ac:dyDescent="0.25">
      <c r="A37" s="18" t="s">
        <v>66</v>
      </c>
      <c r="B37" s="20" t="s">
        <v>118</v>
      </c>
      <c r="C37" s="17">
        <v>7367852</v>
      </c>
      <c r="D37" s="17">
        <v>7307557</v>
      </c>
      <c r="E37" s="81">
        <f t="shared" si="1"/>
        <v>60295</v>
      </c>
      <c r="F37" s="17">
        <v>7307196</v>
      </c>
      <c r="G37" s="81">
        <f t="shared" si="2"/>
        <v>361</v>
      </c>
      <c r="H37" s="11">
        <f t="shared" si="3"/>
        <v>0.99181647514092297</v>
      </c>
      <c r="I37" s="11">
        <f t="shared" si="0"/>
        <v>0.99176747849983959</v>
      </c>
      <c r="S37" s="27"/>
      <c r="T37" s="27"/>
      <c r="U37" s="27"/>
      <c r="V37" s="27"/>
      <c r="W37" s="27"/>
      <c r="X37" s="27"/>
      <c r="Y37" s="27"/>
      <c r="Z37" s="27"/>
    </row>
    <row r="38" spans="1:26" x14ac:dyDescent="0.25">
      <c r="A38" s="18" t="s">
        <v>67</v>
      </c>
      <c r="B38" s="34" t="s">
        <v>68</v>
      </c>
      <c r="C38" s="35">
        <f>1268594-105000</f>
        <v>1163594</v>
      </c>
      <c r="D38" s="35">
        <v>1125458</v>
      </c>
      <c r="E38" s="81">
        <f t="shared" si="1"/>
        <v>38136</v>
      </c>
      <c r="F38" s="35">
        <v>1125221</v>
      </c>
      <c r="G38" s="81">
        <f t="shared" si="2"/>
        <v>237</v>
      </c>
      <c r="H38" s="11">
        <f t="shared" si="3"/>
        <v>0.96722568180997837</v>
      </c>
      <c r="I38" s="11">
        <f t="shared" si="0"/>
        <v>0.96702200251977921</v>
      </c>
      <c r="S38" s="27"/>
      <c r="T38" s="27"/>
      <c r="U38" s="27"/>
      <c r="V38" s="27"/>
      <c r="W38" s="27"/>
      <c r="X38" s="27"/>
      <c r="Y38" s="27"/>
      <c r="Z38" s="27"/>
    </row>
    <row r="39" spans="1:26" x14ac:dyDescent="0.25">
      <c r="A39" s="33" t="s">
        <v>69</v>
      </c>
      <c r="B39" s="20" t="s">
        <v>70</v>
      </c>
      <c r="C39" s="17">
        <v>294826</v>
      </c>
      <c r="D39" s="17">
        <v>286766</v>
      </c>
      <c r="E39" s="81">
        <f t="shared" si="1"/>
        <v>8060</v>
      </c>
      <c r="F39" s="17">
        <v>286766</v>
      </c>
      <c r="G39" s="81">
        <f t="shared" si="2"/>
        <v>0</v>
      </c>
      <c r="H39" s="11">
        <f t="shared" si="3"/>
        <v>0.97266184122160193</v>
      </c>
      <c r="I39" s="11">
        <f t="shared" si="0"/>
        <v>0.97266184122160193</v>
      </c>
      <c r="S39" s="27"/>
      <c r="T39" s="27"/>
      <c r="U39" s="27"/>
      <c r="V39" s="27"/>
      <c r="W39" s="27"/>
      <c r="X39" s="27"/>
      <c r="Y39" s="27"/>
      <c r="Z39" s="27"/>
    </row>
    <row r="40" spans="1:26" x14ac:dyDescent="0.25">
      <c r="A40" s="33" t="s">
        <v>114</v>
      </c>
      <c r="B40" s="20" t="s">
        <v>117</v>
      </c>
      <c r="C40" s="35">
        <f>1776094-147000-74000</f>
        <v>1555094</v>
      </c>
      <c r="D40" s="17">
        <v>1456235</v>
      </c>
      <c r="E40" s="81">
        <f t="shared" si="1"/>
        <v>98859</v>
      </c>
      <c r="F40" s="17">
        <v>1455727</v>
      </c>
      <c r="G40" s="81">
        <f t="shared" si="2"/>
        <v>508</v>
      </c>
      <c r="H40" s="11">
        <f t="shared" si="3"/>
        <v>0.93642892326766103</v>
      </c>
      <c r="I40" s="11">
        <f t="shared" si="0"/>
        <v>0.93610225491192167</v>
      </c>
      <c r="S40" s="27"/>
      <c r="T40" s="27"/>
      <c r="U40" s="27"/>
      <c r="V40" s="27"/>
      <c r="W40" s="27"/>
      <c r="X40" s="27"/>
      <c r="Y40" s="27"/>
      <c r="Z40" s="27"/>
    </row>
    <row r="41" spans="1:26" x14ac:dyDescent="0.25">
      <c r="A41" s="28" t="s">
        <v>115</v>
      </c>
      <c r="B41" s="29" t="s">
        <v>116</v>
      </c>
      <c r="C41" s="30">
        <f>+C42</f>
        <v>66465</v>
      </c>
      <c r="D41" s="30">
        <f>+D42</f>
        <v>65882</v>
      </c>
      <c r="E41" s="82">
        <f t="shared" si="1"/>
        <v>583</v>
      </c>
      <c r="F41" s="30">
        <f>+F42</f>
        <v>65882</v>
      </c>
      <c r="G41" s="82">
        <f t="shared" si="2"/>
        <v>0</v>
      </c>
      <c r="H41" s="31">
        <f t="shared" si="3"/>
        <v>0.99122846610998272</v>
      </c>
      <c r="I41" s="31">
        <f t="shared" si="0"/>
        <v>0.99122846610998272</v>
      </c>
      <c r="S41" s="27"/>
      <c r="T41" s="27"/>
      <c r="U41" s="27"/>
      <c r="V41" s="27"/>
      <c r="W41" s="27"/>
      <c r="X41" s="27"/>
      <c r="Y41" s="27"/>
      <c r="Z41" s="27"/>
    </row>
    <row r="42" spans="1:26" x14ac:dyDescent="0.25">
      <c r="A42" s="33" t="s">
        <v>119</v>
      </c>
      <c r="B42" s="20" t="s">
        <v>120</v>
      </c>
      <c r="C42" s="17">
        <v>66465</v>
      </c>
      <c r="D42" s="17">
        <v>65882</v>
      </c>
      <c r="E42" s="81">
        <f t="shared" si="1"/>
        <v>583</v>
      </c>
      <c r="F42" s="17">
        <v>65882</v>
      </c>
      <c r="G42" s="81">
        <f t="shared" si="2"/>
        <v>0</v>
      </c>
      <c r="H42" s="11">
        <f t="shared" si="3"/>
        <v>0.99122846610998272</v>
      </c>
      <c r="I42" s="11">
        <f t="shared" si="0"/>
        <v>0.99122846610998272</v>
      </c>
      <c r="S42" s="27"/>
      <c r="T42" s="27"/>
      <c r="U42" s="27"/>
      <c r="V42" s="27"/>
      <c r="W42" s="27"/>
      <c r="X42" s="27"/>
      <c r="Y42" s="27"/>
      <c r="Z42" s="27"/>
    </row>
    <row r="43" spans="1:26" x14ac:dyDescent="0.25">
      <c r="A43" s="5">
        <v>25</v>
      </c>
      <c r="B43" s="13" t="s">
        <v>71</v>
      </c>
      <c r="C43" s="108">
        <v>355623</v>
      </c>
      <c r="D43" s="7">
        <v>354937</v>
      </c>
      <c r="E43" s="7">
        <f t="shared" si="1"/>
        <v>686</v>
      </c>
      <c r="F43" s="7">
        <v>354937</v>
      </c>
      <c r="G43" s="7">
        <f t="shared" si="2"/>
        <v>0</v>
      </c>
      <c r="H43" s="8">
        <f t="shared" si="3"/>
        <v>0.99807099090891194</v>
      </c>
      <c r="I43" s="8">
        <f t="shared" si="0"/>
        <v>0.99807099090891194</v>
      </c>
      <c r="S43" s="27"/>
      <c r="T43" s="27"/>
      <c r="U43" s="27"/>
      <c r="V43" s="27"/>
      <c r="W43" s="27"/>
      <c r="X43" s="27"/>
      <c r="Y43" s="27"/>
      <c r="Z43" s="27"/>
    </row>
    <row r="44" spans="1:26" x14ac:dyDescent="0.25">
      <c r="A44" s="53">
        <v>29</v>
      </c>
      <c r="B44" s="14" t="s">
        <v>17</v>
      </c>
      <c r="C44" s="15">
        <f>SUM(C45:C49)</f>
        <v>923063</v>
      </c>
      <c r="D44" s="15">
        <f>SUM(D45:D49)</f>
        <v>887863</v>
      </c>
      <c r="E44" s="7">
        <f t="shared" si="1"/>
        <v>35200</v>
      </c>
      <c r="F44" s="15">
        <f>SUM(F45:F49)</f>
        <v>887839</v>
      </c>
      <c r="G44" s="7">
        <f t="shared" si="2"/>
        <v>24</v>
      </c>
      <c r="H44" s="8">
        <f t="shared" si="3"/>
        <v>0.96186609148021318</v>
      </c>
      <c r="I44" s="8">
        <f t="shared" si="0"/>
        <v>0.96184009108804058</v>
      </c>
      <c r="S44" s="27"/>
      <c r="T44" s="27"/>
      <c r="U44" s="27"/>
      <c r="V44" s="27"/>
      <c r="W44" s="27"/>
      <c r="X44" s="27"/>
      <c r="Y44" s="27"/>
      <c r="Z44" s="27"/>
    </row>
    <row r="45" spans="1:26" x14ac:dyDescent="0.25">
      <c r="A45" s="55" t="s">
        <v>18</v>
      </c>
      <c r="B45" s="56" t="s">
        <v>72</v>
      </c>
      <c r="C45" s="17">
        <v>60839</v>
      </c>
      <c r="D45" s="17">
        <v>59879</v>
      </c>
      <c r="E45" s="81">
        <f t="shared" si="1"/>
        <v>960</v>
      </c>
      <c r="F45" s="17">
        <v>59879</v>
      </c>
      <c r="G45" s="81">
        <f t="shared" si="2"/>
        <v>0</v>
      </c>
      <c r="H45" s="11">
        <f t="shared" si="3"/>
        <v>0.98422064793964403</v>
      </c>
      <c r="I45" s="11">
        <f t="shared" si="0"/>
        <v>0.98422064793964403</v>
      </c>
      <c r="S45" s="27"/>
      <c r="T45" s="27"/>
      <c r="U45" s="27"/>
      <c r="V45" s="27"/>
      <c r="W45" s="27"/>
      <c r="X45" s="27"/>
      <c r="Y45" s="27"/>
      <c r="Z45" s="27"/>
    </row>
    <row r="46" spans="1:26" x14ac:dyDescent="0.25">
      <c r="A46" s="54" t="s">
        <v>19</v>
      </c>
      <c r="B46" s="16" t="s">
        <v>20</v>
      </c>
      <c r="C46" s="19">
        <v>25184</v>
      </c>
      <c r="D46" s="19">
        <v>23555</v>
      </c>
      <c r="E46" s="81">
        <f t="shared" si="1"/>
        <v>1629</v>
      </c>
      <c r="F46" s="19">
        <v>23555</v>
      </c>
      <c r="G46" s="81">
        <f t="shared" si="2"/>
        <v>0</v>
      </c>
      <c r="H46" s="11">
        <f t="shared" si="3"/>
        <v>0.93531607369758574</v>
      </c>
      <c r="I46" s="11">
        <f t="shared" si="0"/>
        <v>0.93531607369758574</v>
      </c>
      <c r="J46" t="s">
        <v>82</v>
      </c>
      <c r="S46" s="27"/>
      <c r="T46" s="27"/>
      <c r="U46" s="27"/>
      <c r="V46" s="27"/>
      <c r="W46" s="27"/>
      <c r="X46" s="27"/>
      <c r="Y46" s="27"/>
      <c r="Z46" s="27"/>
    </row>
    <row r="47" spans="1:26" x14ac:dyDescent="0.25">
      <c r="A47" s="18" t="s">
        <v>21</v>
      </c>
      <c r="B47" s="20" t="s">
        <v>22</v>
      </c>
      <c r="C47" s="17">
        <v>30123</v>
      </c>
      <c r="D47" s="17">
        <v>17865</v>
      </c>
      <c r="E47" s="81">
        <f t="shared" si="1"/>
        <v>12258</v>
      </c>
      <c r="F47" s="17">
        <v>17845</v>
      </c>
      <c r="G47" s="81">
        <f t="shared" si="2"/>
        <v>20</v>
      </c>
      <c r="H47" s="11">
        <f t="shared" si="3"/>
        <v>0.59306841948013145</v>
      </c>
      <c r="I47" s="11">
        <f t="shared" si="0"/>
        <v>0.59240447498589122</v>
      </c>
      <c r="S47" s="27"/>
      <c r="T47" s="27"/>
      <c r="U47" s="27"/>
      <c r="V47" s="27"/>
      <c r="W47" s="27"/>
      <c r="X47" s="27"/>
      <c r="Y47" s="27"/>
      <c r="Z47" s="27"/>
    </row>
    <row r="48" spans="1:26" x14ac:dyDescent="0.25">
      <c r="A48" s="18" t="s">
        <v>23</v>
      </c>
      <c r="B48" s="20" t="s">
        <v>24</v>
      </c>
      <c r="C48" s="17">
        <v>368622</v>
      </c>
      <c r="D48" s="17">
        <v>361244</v>
      </c>
      <c r="E48" s="81">
        <f t="shared" si="1"/>
        <v>7378</v>
      </c>
      <c r="F48" s="17">
        <v>361240</v>
      </c>
      <c r="G48" s="81">
        <f t="shared" si="2"/>
        <v>4</v>
      </c>
      <c r="H48" s="11">
        <f t="shared" si="3"/>
        <v>0.97998491679823774</v>
      </c>
      <c r="I48" s="11">
        <f t="shared" si="0"/>
        <v>0.97997406557394839</v>
      </c>
      <c r="S48" s="27"/>
      <c r="T48" s="27"/>
      <c r="U48" s="27"/>
      <c r="V48" s="27"/>
      <c r="W48" s="27"/>
      <c r="X48" s="27"/>
      <c r="Y48" s="27"/>
      <c r="Z48" s="27"/>
    </row>
    <row r="49" spans="1:26" x14ac:dyDescent="0.25">
      <c r="A49" s="18" t="s">
        <v>25</v>
      </c>
      <c r="B49" s="20" t="s">
        <v>26</v>
      </c>
      <c r="C49" s="17">
        <v>438295</v>
      </c>
      <c r="D49" s="17">
        <v>425320</v>
      </c>
      <c r="E49" s="81">
        <f t="shared" si="1"/>
        <v>12975</v>
      </c>
      <c r="F49" s="17">
        <v>425320</v>
      </c>
      <c r="G49" s="81">
        <f t="shared" si="2"/>
        <v>0</v>
      </c>
      <c r="H49" s="11">
        <f t="shared" si="3"/>
        <v>0.97039665065766212</v>
      </c>
      <c r="I49" s="11">
        <f t="shared" si="0"/>
        <v>0.97039665065766212</v>
      </c>
      <c r="S49" s="27"/>
      <c r="T49" s="27"/>
      <c r="U49" s="27"/>
      <c r="V49" s="27"/>
      <c r="W49" s="27"/>
      <c r="X49" s="27"/>
      <c r="Y49" s="27"/>
      <c r="Z49" s="27"/>
    </row>
    <row r="50" spans="1:26" x14ac:dyDescent="0.25">
      <c r="A50" s="21">
        <v>31</v>
      </c>
      <c r="B50" s="14" t="s">
        <v>107</v>
      </c>
      <c r="C50" s="7">
        <f>+C51</f>
        <v>74971</v>
      </c>
      <c r="D50" s="7">
        <f>+D51</f>
        <v>17496</v>
      </c>
      <c r="E50" s="7">
        <f t="shared" si="1"/>
        <v>57475</v>
      </c>
      <c r="F50" s="7">
        <f>+F51</f>
        <v>17496</v>
      </c>
      <c r="G50" s="7">
        <f t="shared" si="2"/>
        <v>0</v>
      </c>
      <c r="H50" s="8">
        <f>+D50/C50</f>
        <v>0.23337023649144337</v>
      </c>
      <c r="I50" s="8">
        <f t="shared" si="0"/>
        <v>0.23337023649144337</v>
      </c>
      <c r="S50" s="27"/>
      <c r="T50" s="27"/>
      <c r="U50" s="27"/>
      <c r="V50" s="27"/>
      <c r="W50" s="27"/>
      <c r="X50" s="27"/>
      <c r="Y50" s="27"/>
      <c r="Z50" s="27"/>
    </row>
    <row r="51" spans="1:26" x14ac:dyDescent="0.25">
      <c r="A51" s="18" t="s">
        <v>73</v>
      </c>
      <c r="B51" s="20" t="s">
        <v>74</v>
      </c>
      <c r="C51" s="17">
        <v>74971</v>
      </c>
      <c r="D51" s="17">
        <v>17496</v>
      </c>
      <c r="E51" s="81">
        <f t="shared" si="1"/>
        <v>57475</v>
      </c>
      <c r="F51" s="17">
        <v>17496</v>
      </c>
      <c r="G51" s="81">
        <f t="shared" si="2"/>
        <v>0</v>
      </c>
      <c r="H51" s="11">
        <f>+D51/C51</f>
        <v>0.23337023649144337</v>
      </c>
      <c r="I51" s="11">
        <f t="shared" si="0"/>
        <v>0.23337023649144337</v>
      </c>
      <c r="J51" s="27"/>
      <c r="S51" s="27"/>
      <c r="T51" s="27"/>
      <c r="U51" s="27"/>
      <c r="V51" s="27"/>
      <c r="W51" s="27"/>
      <c r="X51" s="27"/>
      <c r="Y51" s="27"/>
      <c r="Z51" s="27"/>
    </row>
    <row r="52" spans="1:26" x14ac:dyDescent="0.25">
      <c r="A52" s="5">
        <v>33</v>
      </c>
      <c r="B52" s="13" t="s">
        <v>75</v>
      </c>
      <c r="C52" s="7">
        <f>+C53</f>
        <v>3147255</v>
      </c>
      <c r="D52" s="7">
        <f>+D53</f>
        <v>3147255</v>
      </c>
      <c r="E52" s="7">
        <f t="shared" si="1"/>
        <v>0</v>
      </c>
      <c r="F52" s="7">
        <f>+F53</f>
        <v>3147255</v>
      </c>
      <c r="G52" s="7">
        <f t="shared" si="2"/>
        <v>0</v>
      </c>
      <c r="H52" s="8">
        <f t="shared" si="3"/>
        <v>1</v>
      </c>
      <c r="I52" s="8">
        <f t="shared" si="0"/>
        <v>1</v>
      </c>
      <c r="S52" s="27"/>
      <c r="T52" s="27"/>
      <c r="U52" s="27"/>
      <c r="V52" s="27"/>
      <c r="W52" s="27"/>
      <c r="X52" s="27"/>
      <c r="Y52" s="27"/>
      <c r="Z52" s="27"/>
    </row>
    <row r="53" spans="1:26" s="32" customFormat="1" x14ac:dyDescent="0.25">
      <c r="A53" s="28" t="s">
        <v>76</v>
      </c>
      <c r="B53" s="29" t="s">
        <v>55</v>
      </c>
      <c r="C53" s="30">
        <f>+C54</f>
        <v>3147255</v>
      </c>
      <c r="D53" s="30">
        <f>+D54</f>
        <v>3147255</v>
      </c>
      <c r="E53" s="82">
        <f t="shared" si="1"/>
        <v>0</v>
      </c>
      <c r="F53" s="30">
        <f>+F54</f>
        <v>3147255</v>
      </c>
      <c r="G53" s="82">
        <f t="shared" si="2"/>
        <v>0</v>
      </c>
      <c r="H53" s="31">
        <f t="shared" si="3"/>
        <v>1</v>
      </c>
      <c r="I53" s="31">
        <f t="shared" si="0"/>
        <v>1</v>
      </c>
      <c r="S53" s="27"/>
      <c r="T53" s="27"/>
      <c r="U53" s="27"/>
      <c r="V53" s="27"/>
      <c r="W53" s="27"/>
      <c r="X53" s="27"/>
      <c r="Y53" s="27"/>
      <c r="Z53" s="27"/>
    </row>
    <row r="54" spans="1:26" s="39" customFormat="1" ht="25.5" x14ac:dyDescent="0.25">
      <c r="A54" s="36" t="s">
        <v>77</v>
      </c>
      <c r="B54" s="37" t="s">
        <v>78</v>
      </c>
      <c r="C54" s="17">
        <v>3147255</v>
      </c>
      <c r="D54" s="17">
        <v>3147255</v>
      </c>
      <c r="E54" s="81">
        <f t="shared" si="1"/>
        <v>0</v>
      </c>
      <c r="F54" s="17">
        <v>3147255</v>
      </c>
      <c r="G54" s="81">
        <f t="shared" si="2"/>
        <v>0</v>
      </c>
      <c r="H54" s="38">
        <f>+D54/C54</f>
        <v>1</v>
      </c>
      <c r="I54" s="38">
        <f t="shared" si="0"/>
        <v>1</v>
      </c>
      <c r="S54" s="27"/>
      <c r="T54" s="27"/>
      <c r="U54" s="27"/>
      <c r="V54" s="27"/>
      <c r="W54" s="27"/>
      <c r="X54" s="27"/>
      <c r="Y54" s="27"/>
      <c r="Z54" s="27"/>
    </row>
    <row r="55" spans="1:26" x14ac:dyDescent="0.25">
      <c r="A55" s="5">
        <v>34</v>
      </c>
      <c r="B55" s="13" t="s">
        <v>79</v>
      </c>
      <c r="C55" s="7">
        <f>+C56</f>
        <v>3505324</v>
      </c>
      <c r="D55" s="7">
        <f>+D56</f>
        <v>3501034</v>
      </c>
      <c r="E55" s="7">
        <f t="shared" si="1"/>
        <v>4290</v>
      </c>
      <c r="F55" s="7">
        <f>+F56</f>
        <v>3501034</v>
      </c>
      <c r="G55" s="7">
        <f t="shared" si="2"/>
        <v>0</v>
      </c>
      <c r="H55" s="8">
        <f>+D55/C55</f>
        <v>0.99877614736897358</v>
      </c>
      <c r="I55" s="8">
        <f t="shared" si="0"/>
        <v>0.99877614736897358</v>
      </c>
      <c r="S55" s="27"/>
      <c r="T55" s="27"/>
      <c r="U55" s="27"/>
      <c r="V55" s="27"/>
      <c r="W55" s="27"/>
      <c r="X55" s="27"/>
      <c r="Y55" s="27"/>
      <c r="Z55" s="27"/>
    </row>
    <row r="56" spans="1:26" ht="15.75" customHeight="1" x14ac:dyDescent="0.25">
      <c r="A56" s="18" t="s">
        <v>80</v>
      </c>
      <c r="B56" s="20" t="s">
        <v>81</v>
      </c>
      <c r="C56" s="17">
        <v>3505324</v>
      </c>
      <c r="D56" s="17">
        <v>3501034</v>
      </c>
      <c r="E56" s="81">
        <f t="shared" si="1"/>
        <v>4290</v>
      </c>
      <c r="F56" s="17">
        <v>3501034</v>
      </c>
      <c r="G56" s="81">
        <f t="shared" si="2"/>
        <v>0</v>
      </c>
      <c r="H56" s="11">
        <f>+D56/C56</f>
        <v>0.99877614736897358</v>
      </c>
      <c r="I56" s="11">
        <f t="shared" si="0"/>
        <v>0.99877614736897358</v>
      </c>
      <c r="S56" s="27"/>
      <c r="T56" s="27"/>
      <c r="U56" s="27"/>
      <c r="V56" s="27"/>
      <c r="W56" s="27"/>
      <c r="X56" s="27"/>
      <c r="Y56" s="27"/>
      <c r="Z56" s="27"/>
    </row>
    <row r="57" spans="1:26" s="40" customFormat="1" ht="15.75" customHeight="1" x14ac:dyDescent="0.25">
      <c r="A57" s="5" t="s">
        <v>92</v>
      </c>
      <c r="B57" s="13" t="s">
        <v>27</v>
      </c>
      <c r="C57" s="15">
        <v>900</v>
      </c>
      <c r="D57" s="15">
        <v>0</v>
      </c>
      <c r="E57" s="7">
        <f t="shared" si="1"/>
        <v>900</v>
      </c>
      <c r="F57" s="15">
        <v>0</v>
      </c>
      <c r="G57" s="7">
        <f t="shared" si="2"/>
        <v>0</v>
      </c>
      <c r="H57" s="8">
        <f>+D57/C57</f>
        <v>0</v>
      </c>
      <c r="I57" s="8">
        <f t="shared" si="0"/>
        <v>0</v>
      </c>
      <c r="S57" s="52"/>
      <c r="T57" s="52"/>
      <c r="U57" s="52"/>
      <c r="V57" s="52"/>
      <c r="W57" s="52"/>
      <c r="X57" s="52"/>
      <c r="Y57" s="52"/>
      <c r="Z57" s="52"/>
    </row>
    <row r="58" spans="1:26" x14ac:dyDescent="0.25">
      <c r="A58" s="22"/>
      <c r="B58" s="23" t="s">
        <v>28</v>
      </c>
      <c r="C58" s="24">
        <f>+C6+C14+C15+C16+C43+C44+C50+C52+C55+C57</f>
        <v>90872455</v>
      </c>
      <c r="D58" s="24">
        <f>+D6+D14+D15+D16+D43+D44+D50+D52+D55+D57</f>
        <v>89276541</v>
      </c>
      <c r="E58" s="24">
        <f>+E6+E14+E15+E16+E43+E44+E50+E52+E55+E57</f>
        <v>1595914</v>
      </c>
      <c r="F58" s="24">
        <f>+F6+F14+F15+F16+F43+F44+F50+F52+F55+F57</f>
        <v>89154109</v>
      </c>
      <c r="G58" s="24">
        <f>+G6+G14+G15+G16+G43+G44+G50+G52+G55+G57</f>
        <v>122432</v>
      </c>
      <c r="H58" s="25">
        <f>+D58/C58</f>
        <v>0.98243786854883586</v>
      </c>
      <c r="I58" s="25">
        <f>+F58/C58</f>
        <v>0.98109057359570617</v>
      </c>
      <c r="S58" s="27"/>
      <c r="T58" s="27"/>
      <c r="U58" s="27"/>
      <c r="V58" s="27"/>
      <c r="W58" s="27"/>
      <c r="X58" s="27"/>
      <c r="Y58" s="27"/>
      <c r="Z58" s="27"/>
    </row>
    <row r="59" spans="1:26" x14ac:dyDescent="0.25">
      <c r="A59" s="116"/>
      <c r="B59" s="116"/>
      <c r="C59" s="27"/>
      <c r="H59" t="s">
        <v>82</v>
      </c>
    </row>
    <row r="60" spans="1:26" x14ac:dyDescent="0.25">
      <c r="B60" t="s">
        <v>82</v>
      </c>
      <c r="C60" s="27"/>
      <c r="D60" s="27"/>
      <c r="E60" s="27"/>
      <c r="F60" s="27"/>
      <c r="G60" s="27"/>
    </row>
    <row r="62" spans="1:26" x14ac:dyDescent="0.25">
      <c r="C62" s="27"/>
      <c r="D62" s="27"/>
      <c r="E62" s="27"/>
      <c r="F62" s="27"/>
      <c r="G62" s="27"/>
    </row>
    <row r="63" spans="1:26" x14ac:dyDescent="0.25">
      <c r="C63" s="27"/>
    </row>
    <row r="64" spans="1:26" x14ac:dyDescent="0.25">
      <c r="C64" s="27"/>
    </row>
    <row r="65" spans="3:3" x14ac:dyDescent="0.25">
      <c r="C65" s="27"/>
    </row>
    <row r="66" spans="3:3" x14ac:dyDescent="0.25">
      <c r="C66" s="27"/>
    </row>
    <row r="67" spans="3:3" x14ac:dyDescent="0.25">
      <c r="C67" s="27"/>
    </row>
  </sheetData>
  <mergeCells count="3">
    <mergeCell ref="A2:I2"/>
    <mergeCell ref="A3:I3"/>
    <mergeCell ref="A59:B59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/>
    <pageSetUpPr fitToPage="1"/>
  </sheetPr>
  <dimension ref="A1:Y39"/>
  <sheetViews>
    <sheetView showGridLines="0" zoomScale="90" zoomScaleNormal="90" workbookViewId="0">
      <pane ySplit="5" topLeftCell="A6" activePane="bottomLeft" state="frozen"/>
      <selection pane="bottomLeft" activeCell="A2" sqref="A2:J2"/>
    </sheetView>
  </sheetViews>
  <sheetFormatPr baseColWidth="10" defaultRowHeight="15" outlineLevelRow="1" x14ac:dyDescent="0.25"/>
  <cols>
    <col min="1" max="1" width="11.42578125" style="26"/>
    <col min="2" max="2" width="45.5703125" customWidth="1"/>
    <col min="3" max="3" width="14.85546875" customWidth="1"/>
    <col min="4" max="4" width="14.7109375" customWidth="1"/>
    <col min="5" max="5" width="16.5703125" customWidth="1"/>
    <col min="6" max="6" width="14.5703125" customWidth="1"/>
    <col min="7" max="7" width="15.7109375" customWidth="1"/>
    <col min="8" max="8" width="13.42578125" customWidth="1"/>
    <col min="9" max="9" width="10.7109375" customWidth="1"/>
    <col min="10" max="10" width="10.85546875" customWidth="1"/>
    <col min="11" max="11" width="11.5703125" customWidth="1"/>
    <col min="12" max="17" width="0" hidden="1" customWidth="1"/>
    <col min="18" max="21" width="11.42578125" hidden="1" customWidth="1"/>
    <col min="22" max="22" width="0" hidden="1" customWidth="1"/>
  </cols>
  <sheetData>
    <row r="1" spans="1:25" x14ac:dyDescent="0.25">
      <c r="F1" s="27"/>
    </row>
    <row r="2" spans="1:25" x14ac:dyDescent="0.25">
      <c r="A2" s="115" t="s">
        <v>83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25" x14ac:dyDescent="0.25">
      <c r="A3" s="114" t="s">
        <v>134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25" x14ac:dyDescent="0.25">
      <c r="C4" s="27"/>
      <c r="D4" s="27"/>
      <c r="F4" s="27"/>
    </row>
    <row r="5" spans="1:25" ht="25.5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4" t="s">
        <v>7</v>
      </c>
      <c r="I5" s="4" t="s">
        <v>8</v>
      </c>
      <c r="V5" s="27"/>
      <c r="W5" s="27"/>
      <c r="X5" s="27"/>
      <c r="Y5" s="27"/>
    </row>
    <row r="6" spans="1:25" x14ac:dyDescent="0.25">
      <c r="A6" s="5">
        <v>21</v>
      </c>
      <c r="B6" s="6" t="s">
        <v>9</v>
      </c>
      <c r="C6" s="42">
        <f>SUM(C7:C13)</f>
        <v>3205332</v>
      </c>
      <c r="D6" s="42">
        <f>SUM(D7:D13)</f>
        <v>3162848</v>
      </c>
      <c r="E6" s="42">
        <f>+C6-D6</f>
        <v>42484</v>
      </c>
      <c r="F6" s="42">
        <f>SUM(F7:F13)</f>
        <v>3160699</v>
      </c>
      <c r="G6" s="42">
        <f>+D6-F6</f>
        <v>2149</v>
      </c>
      <c r="H6" s="8">
        <f t="shared" ref="H6:H27" si="0">+D6/C6</f>
        <v>0.98674583475284305</v>
      </c>
      <c r="I6" s="8">
        <f t="shared" ref="I6:I27" si="1">+F6/C6</f>
        <v>0.98607538938244155</v>
      </c>
      <c r="J6" s="27"/>
      <c r="Q6" s="27"/>
      <c r="R6" s="27">
        <f t="shared" ref="R6:R27" si="2">C6-D6</f>
        <v>42484</v>
      </c>
      <c r="S6" s="27">
        <f t="shared" ref="S6:S27" si="3">E6-R6</f>
        <v>0</v>
      </c>
      <c r="T6" s="27">
        <f t="shared" ref="T6:T27" si="4">D6-F6</f>
        <v>2149</v>
      </c>
      <c r="U6" s="27">
        <f t="shared" ref="U6:U27" si="5">G6-T6</f>
        <v>0</v>
      </c>
      <c r="V6" s="27"/>
      <c r="W6" s="27"/>
      <c r="X6" s="27"/>
      <c r="Y6" s="27"/>
    </row>
    <row r="7" spans="1:25" outlineLevel="1" x14ac:dyDescent="0.25">
      <c r="A7" s="5"/>
      <c r="B7" s="9" t="s">
        <v>10</v>
      </c>
      <c r="C7" s="43">
        <f>3205332-SUM(C8:C13)</f>
        <v>1865883</v>
      </c>
      <c r="D7" s="43">
        <f>3162848-SUM(D8:D13)</f>
        <v>1865883</v>
      </c>
      <c r="E7" s="43">
        <f t="shared" ref="E7:E26" si="6">+C7-D7</f>
        <v>0</v>
      </c>
      <c r="F7" s="43">
        <f>3160699-SUM(F8:F13)</f>
        <v>1865883</v>
      </c>
      <c r="G7" s="43">
        <f t="shared" ref="G7:G26" si="7">+D7-F7</f>
        <v>0</v>
      </c>
      <c r="H7" s="11">
        <f t="shared" si="0"/>
        <v>1</v>
      </c>
      <c r="I7" s="11">
        <f t="shared" si="1"/>
        <v>1</v>
      </c>
      <c r="L7">
        <v>1419002</v>
      </c>
      <c r="M7">
        <v>942081</v>
      </c>
      <c r="N7">
        <v>476921</v>
      </c>
      <c r="O7">
        <v>440626</v>
      </c>
      <c r="P7">
        <v>501455</v>
      </c>
      <c r="Q7" s="27"/>
      <c r="R7" s="27">
        <f t="shared" si="2"/>
        <v>0</v>
      </c>
      <c r="S7" s="27">
        <f t="shared" si="3"/>
        <v>0</v>
      </c>
      <c r="T7" s="27">
        <f t="shared" si="4"/>
        <v>0</v>
      </c>
      <c r="U7" s="27">
        <f t="shared" si="5"/>
        <v>0</v>
      </c>
      <c r="V7" s="27"/>
      <c r="W7" s="27"/>
      <c r="X7" s="27"/>
      <c r="Y7" s="27"/>
    </row>
    <row r="8" spans="1:25" outlineLevel="1" x14ac:dyDescent="0.25">
      <c r="A8" s="5"/>
      <c r="B8" s="9" t="s">
        <v>11</v>
      </c>
      <c r="C8" s="43">
        <v>0</v>
      </c>
      <c r="D8" s="43">
        <v>0</v>
      </c>
      <c r="E8" s="43">
        <f t="shared" si="6"/>
        <v>0</v>
      </c>
      <c r="F8" s="43">
        <v>0</v>
      </c>
      <c r="G8" s="43">
        <f t="shared" si="7"/>
        <v>0</v>
      </c>
      <c r="H8" s="11" t="s">
        <v>94</v>
      </c>
      <c r="I8" s="11" t="s">
        <v>94</v>
      </c>
      <c r="L8">
        <v>10912</v>
      </c>
      <c r="M8">
        <v>10912</v>
      </c>
      <c r="N8">
        <v>0</v>
      </c>
      <c r="O8">
        <v>3637</v>
      </c>
      <c r="P8">
        <v>7275</v>
      </c>
      <c r="Q8" s="27"/>
      <c r="R8" s="27">
        <f t="shared" si="2"/>
        <v>0</v>
      </c>
      <c r="S8" s="27">
        <f t="shared" si="3"/>
        <v>0</v>
      </c>
      <c r="T8" s="27">
        <f t="shared" si="4"/>
        <v>0</v>
      </c>
      <c r="U8" s="27">
        <f t="shared" si="5"/>
        <v>0</v>
      </c>
      <c r="V8" s="27"/>
      <c r="W8" s="27"/>
      <c r="X8" s="27"/>
      <c r="Y8" s="27"/>
    </row>
    <row r="9" spans="1:25" outlineLevel="1" x14ac:dyDescent="0.25">
      <c r="A9" s="5"/>
      <c r="B9" s="9" t="s">
        <v>12</v>
      </c>
      <c r="C9" s="43">
        <v>0</v>
      </c>
      <c r="D9" s="43">
        <v>0</v>
      </c>
      <c r="E9" s="43">
        <f t="shared" si="6"/>
        <v>0</v>
      </c>
      <c r="F9" s="43">
        <v>0</v>
      </c>
      <c r="G9" s="43">
        <f t="shared" si="7"/>
        <v>0</v>
      </c>
      <c r="H9" s="11" t="s">
        <v>94</v>
      </c>
      <c r="I9" s="11" t="s">
        <v>94</v>
      </c>
      <c r="L9">
        <v>5936</v>
      </c>
      <c r="M9">
        <v>5936</v>
      </c>
      <c r="N9">
        <v>0</v>
      </c>
      <c r="O9">
        <v>371</v>
      </c>
      <c r="P9">
        <v>5565</v>
      </c>
      <c r="Q9" s="27"/>
      <c r="R9" s="27">
        <f t="shared" si="2"/>
        <v>0</v>
      </c>
      <c r="S9" s="27">
        <f t="shared" si="3"/>
        <v>0</v>
      </c>
      <c r="T9" s="27">
        <f t="shared" si="4"/>
        <v>0</v>
      </c>
      <c r="U9" s="27">
        <f t="shared" si="5"/>
        <v>0</v>
      </c>
      <c r="V9" s="27"/>
      <c r="W9" s="27"/>
      <c r="X9" s="27"/>
      <c r="Y9" s="27"/>
    </row>
    <row r="10" spans="1:25" outlineLevel="1" x14ac:dyDescent="0.25">
      <c r="A10" s="5"/>
      <c r="B10" s="9" t="s">
        <v>13</v>
      </c>
      <c r="C10" s="43">
        <v>4621</v>
      </c>
      <c r="D10" s="43">
        <v>3082</v>
      </c>
      <c r="E10" s="43">
        <f t="shared" si="6"/>
        <v>1539</v>
      </c>
      <c r="F10" s="43">
        <v>3082</v>
      </c>
      <c r="G10" s="43">
        <f t="shared" si="7"/>
        <v>0</v>
      </c>
      <c r="H10" s="11">
        <f t="shared" si="0"/>
        <v>0.66695520450119017</v>
      </c>
      <c r="I10" s="11">
        <f t="shared" si="1"/>
        <v>0.66695520450119017</v>
      </c>
      <c r="L10">
        <v>55044</v>
      </c>
      <c r="M10">
        <v>6510</v>
      </c>
      <c r="N10">
        <v>48534</v>
      </c>
      <c r="O10">
        <v>5150</v>
      </c>
      <c r="P10">
        <v>1360</v>
      </c>
      <c r="Q10" s="27"/>
      <c r="R10" s="27">
        <f t="shared" si="2"/>
        <v>1539</v>
      </c>
      <c r="S10" s="27">
        <f t="shared" si="3"/>
        <v>0</v>
      </c>
      <c r="T10" s="27">
        <f t="shared" si="4"/>
        <v>0</v>
      </c>
      <c r="U10" s="27">
        <f t="shared" si="5"/>
        <v>0</v>
      </c>
      <c r="V10" s="27"/>
      <c r="W10" s="27"/>
      <c r="X10" s="27"/>
      <c r="Y10" s="27"/>
    </row>
    <row r="11" spans="1:25" outlineLevel="1" x14ac:dyDescent="0.25">
      <c r="A11" s="5"/>
      <c r="B11" s="9" t="s">
        <v>14</v>
      </c>
      <c r="C11" s="43">
        <v>0</v>
      </c>
      <c r="D11" s="43">
        <v>0</v>
      </c>
      <c r="E11" s="43">
        <f t="shared" si="6"/>
        <v>0</v>
      </c>
      <c r="F11" s="43">
        <v>0</v>
      </c>
      <c r="G11" s="43">
        <f t="shared" si="7"/>
        <v>0</v>
      </c>
      <c r="H11" s="11" t="s">
        <v>94</v>
      </c>
      <c r="I11" s="11" t="s">
        <v>94</v>
      </c>
      <c r="L11">
        <v>13082</v>
      </c>
      <c r="M11">
        <v>0</v>
      </c>
      <c r="N11">
        <v>13082</v>
      </c>
      <c r="O11">
        <v>0</v>
      </c>
      <c r="P11">
        <v>0</v>
      </c>
      <c r="Q11" s="27"/>
      <c r="R11" s="27">
        <f t="shared" si="2"/>
        <v>0</v>
      </c>
      <c r="S11" s="27">
        <f t="shared" si="3"/>
        <v>0</v>
      </c>
      <c r="T11" s="27">
        <f t="shared" si="4"/>
        <v>0</v>
      </c>
      <c r="U11" s="27">
        <f t="shared" si="5"/>
        <v>0</v>
      </c>
      <c r="V11" s="27"/>
      <c r="W11" s="27"/>
      <c r="X11" s="27"/>
      <c r="Y11" s="27"/>
    </row>
    <row r="12" spans="1:25" outlineLevel="1" x14ac:dyDescent="0.25">
      <c r="A12" s="5"/>
      <c r="B12" s="12" t="s">
        <v>15</v>
      </c>
      <c r="C12" s="111">
        <v>1282493</v>
      </c>
      <c r="D12" s="43">
        <v>1242746</v>
      </c>
      <c r="E12" s="43">
        <f t="shared" si="6"/>
        <v>39747</v>
      </c>
      <c r="F12" s="43">
        <v>1240597</v>
      </c>
      <c r="G12" s="43">
        <f t="shared" si="7"/>
        <v>2149</v>
      </c>
      <c r="H12" s="11">
        <f t="shared" si="0"/>
        <v>0.96900801797748604</v>
      </c>
      <c r="I12" s="11">
        <f t="shared" si="1"/>
        <v>0.96733237530341298</v>
      </c>
      <c r="L12">
        <v>810497</v>
      </c>
      <c r="M12">
        <v>163867</v>
      </c>
      <c r="N12">
        <v>646630</v>
      </c>
      <c r="O12">
        <v>59783</v>
      </c>
      <c r="P12">
        <v>104084</v>
      </c>
      <c r="Q12" s="27"/>
      <c r="R12" s="27">
        <f t="shared" si="2"/>
        <v>39747</v>
      </c>
      <c r="S12" s="27">
        <f t="shared" si="3"/>
        <v>0</v>
      </c>
      <c r="T12" s="27">
        <f t="shared" si="4"/>
        <v>2149</v>
      </c>
      <c r="U12" s="27">
        <f t="shared" si="5"/>
        <v>0</v>
      </c>
      <c r="V12" s="27"/>
      <c r="W12" s="27"/>
      <c r="X12" s="27"/>
      <c r="Y12" s="27"/>
    </row>
    <row r="13" spans="1:25" outlineLevel="1" x14ac:dyDescent="0.25">
      <c r="A13" s="5"/>
      <c r="B13" s="12" t="s">
        <v>113</v>
      </c>
      <c r="C13" s="43">
        <v>52335</v>
      </c>
      <c r="D13" s="43">
        <v>51137</v>
      </c>
      <c r="E13" s="43">
        <f t="shared" si="6"/>
        <v>1198</v>
      </c>
      <c r="F13" s="43">
        <v>51137</v>
      </c>
      <c r="G13" s="43">
        <f t="shared" si="7"/>
        <v>0</v>
      </c>
      <c r="H13" s="11">
        <f t="shared" si="0"/>
        <v>0.97710900926722077</v>
      </c>
      <c r="I13" s="11">
        <f t="shared" si="1"/>
        <v>0.97710900926722077</v>
      </c>
      <c r="Q13" s="27"/>
      <c r="R13" s="27">
        <f t="shared" si="2"/>
        <v>1198</v>
      </c>
      <c r="S13" s="27">
        <f t="shared" si="3"/>
        <v>0</v>
      </c>
      <c r="T13" s="27">
        <f t="shared" si="4"/>
        <v>0</v>
      </c>
      <c r="U13" s="27">
        <f t="shared" si="5"/>
        <v>0</v>
      </c>
      <c r="V13" s="27"/>
      <c r="W13" s="27"/>
      <c r="X13" s="27"/>
      <c r="Y13" s="27"/>
    </row>
    <row r="14" spans="1:25" x14ac:dyDescent="0.25">
      <c r="A14" s="5">
        <v>22</v>
      </c>
      <c r="B14" s="6" t="s">
        <v>16</v>
      </c>
      <c r="C14" s="112">
        <f>135496-25000</f>
        <v>110496</v>
      </c>
      <c r="D14" s="42">
        <v>60307</v>
      </c>
      <c r="E14" s="42">
        <f t="shared" si="6"/>
        <v>50189</v>
      </c>
      <c r="F14" s="42">
        <v>60307</v>
      </c>
      <c r="G14" s="42">
        <f t="shared" si="7"/>
        <v>0</v>
      </c>
      <c r="H14" s="8">
        <f t="shared" si="0"/>
        <v>0.54578446278598325</v>
      </c>
      <c r="I14" s="8">
        <f t="shared" si="1"/>
        <v>0.54578446278598325</v>
      </c>
      <c r="L14">
        <v>545413</v>
      </c>
      <c r="M14">
        <v>63821</v>
      </c>
      <c r="N14">
        <v>481592</v>
      </c>
      <c r="O14">
        <v>41803</v>
      </c>
      <c r="P14">
        <v>22018</v>
      </c>
      <c r="Q14" s="27"/>
      <c r="R14" s="27">
        <f t="shared" si="2"/>
        <v>50189</v>
      </c>
      <c r="S14" s="27">
        <f t="shared" si="3"/>
        <v>0</v>
      </c>
      <c r="T14" s="27">
        <f t="shared" si="4"/>
        <v>0</v>
      </c>
      <c r="U14" s="27">
        <f t="shared" si="5"/>
        <v>0</v>
      </c>
      <c r="V14" s="27"/>
      <c r="W14" s="27"/>
      <c r="X14" s="27"/>
      <c r="Y14" s="27"/>
    </row>
    <row r="15" spans="1:25" x14ac:dyDescent="0.25">
      <c r="A15" s="5">
        <v>24</v>
      </c>
      <c r="B15" s="6" t="s">
        <v>31</v>
      </c>
      <c r="C15" s="42">
        <f>+C16+C22</f>
        <v>39438963</v>
      </c>
      <c r="D15" s="42">
        <f>+D16+D22</f>
        <v>38410077</v>
      </c>
      <c r="E15" s="42">
        <f t="shared" si="6"/>
        <v>1028886</v>
      </c>
      <c r="F15" s="42">
        <f>+F16+F22</f>
        <v>38399714</v>
      </c>
      <c r="G15" s="42">
        <f t="shared" si="7"/>
        <v>10363</v>
      </c>
      <c r="H15" s="8">
        <f t="shared" si="0"/>
        <v>0.97391194083880961</v>
      </c>
      <c r="I15" s="8">
        <f t="shared" si="1"/>
        <v>0.97364918038032588</v>
      </c>
      <c r="L15">
        <v>33108052</v>
      </c>
      <c r="M15">
        <v>21741185</v>
      </c>
      <c r="N15">
        <v>11366867</v>
      </c>
      <c r="O15">
        <v>21257401</v>
      </c>
      <c r="P15">
        <v>483784</v>
      </c>
      <c r="Q15" s="27"/>
      <c r="R15" s="27">
        <f t="shared" si="2"/>
        <v>1028886</v>
      </c>
      <c r="S15" s="27">
        <f t="shared" si="3"/>
        <v>0</v>
      </c>
      <c r="T15" s="27">
        <f t="shared" si="4"/>
        <v>10363</v>
      </c>
      <c r="U15" s="27">
        <f t="shared" si="5"/>
        <v>0</v>
      </c>
      <c r="V15" s="27"/>
      <c r="W15" s="27"/>
      <c r="X15" s="27"/>
      <c r="Y15" s="27"/>
    </row>
    <row r="16" spans="1:25" x14ac:dyDescent="0.25">
      <c r="A16" s="28" t="s">
        <v>54</v>
      </c>
      <c r="B16" s="44" t="s">
        <v>55</v>
      </c>
      <c r="C16" s="45">
        <f>SUM(C17:C21)</f>
        <v>38997808</v>
      </c>
      <c r="D16" s="45">
        <f>SUM(D17:D21)</f>
        <v>37969583</v>
      </c>
      <c r="E16" s="45">
        <f t="shared" si="6"/>
        <v>1028225</v>
      </c>
      <c r="F16" s="45">
        <f>SUM(F17:F21)</f>
        <v>37959220</v>
      </c>
      <c r="G16" s="45">
        <f t="shared" si="7"/>
        <v>10363</v>
      </c>
      <c r="H16" s="31">
        <f t="shared" si="0"/>
        <v>0.97363377449317157</v>
      </c>
      <c r="I16" s="31">
        <f t="shared" si="1"/>
        <v>0.97336804160890278</v>
      </c>
      <c r="L16">
        <v>33108052</v>
      </c>
      <c r="M16">
        <v>21741185</v>
      </c>
      <c r="N16">
        <v>11366867</v>
      </c>
      <c r="O16">
        <v>21257401</v>
      </c>
      <c r="P16">
        <v>483784</v>
      </c>
      <c r="Q16" s="27"/>
      <c r="R16" s="27">
        <f t="shared" si="2"/>
        <v>1028225</v>
      </c>
      <c r="S16" s="27">
        <f t="shared" si="3"/>
        <v>0</v>
      </c>
      <c r="T16" s="27">
        <f t="shared" si="4"/>
        <v>10363</v>
      </c>
      <c r="U16" s="27">
        <f t="shared" si="5"/>
        <v>0</v>
      </c>
      <c r="V16" s="27"/>
      <c r="W16" s="27"/>
      <c r="X16" s="27"/>
      <c r="Y16" s="27"/>
    </row>
    <row r="17" spans="1:25" x14ac:dyDescent="0.25">
      <c r="A17" s="18" t="s">
        <v>84</v>
      </c>
      <c r="B17" s="33" t="s">
        <v>85</v>
      </c>
      <c r="C17" s="111">
        <f>7584526-155000-201000</f>
        <v>7228526</v>
      </c>
      <c r="D17" s="43">
        <v>6839585</v>
      </c>
      <c r="E17" s="43">
        <f t="shared" si="6"/>
        <v>388941</v>
      </c>
      <c r="F17" s="43">
        <v>6838799</v>
      </c>
      <c r="G17" s="43">
        <f t="shared" si="7"/>
        <v>786</v>
      </c>
      <c r="H17" s="11">
        <f t="shared" si="0"/>
        <v>0.94619359465539721</v>
      </c>
      <c r="I17" s="11">
        <f t="shared" si="1"/>
        <v>0.94608485879417192</v>
      </c>
      <c r="L17">
        <v>6815204</v>
      </c>
      <c r="M17">
        <v>3800395</v>
      </c>
      <c r="N17">
        <v>3014809</v>
      </c>
      <c r="O17">
        <v>3563736</v>
      </c>
      <c r="P17">
        <v>236659</v>
      </c>
      <c r="Q17" s="27"/>
      <c r="R17" s="27">
        <f t="shared" si="2"/>
        <v>388941</v>
      </c>
      <c r="S17" s="27">
        <f t="shared" si="3"/>
        <v>0</v>
      </c>
      <c r="T17" s="27">
        <f t="shared" si="4"/>
        <v>786</v>
      </c>
      <c r="U17" s="27">
        <f t="shared" si="5"/>
        <v>0</v>
      </c>
      <c r="V17" s="27"/>
      <c r="W17" s="27"/>
      <c r="X17" s="27"/>
      <c r="Y17" s="27"/>
    </row>
    <row r="18" spans="1:25" x14ac:dyDescent="0.25">
      <c r="A18" s="18" t="s">
        <v>86</v>
      </c>
      <c r="B18" s="33" t="s">
        <v>87</v>
      </c>
      <c r="C18" s="111">
        <f>12521679-252000-129000</f>
        <v>12140679</v>
      </c>
      <c r="D18" s="43">
        <v>12010611</v>
      </c>
      <c r="E18" s="43">
        <f t="shared" si="6"/>
        <v>130068</v>
      </c>
      <c r="F18" s="43">
        <v>12001034</v>
      </c>
      <c r="G18" s="43">
        <f t="shared" si="7"/>
        <v>9577</v>
      </c>
      <c r="H18" s="11">
        <f t="shared" si="0"/>
        <v>0.98928659591444601</v>
      </c>
      <c r="I18" s="11">
        <f t="shared" si="1"/>
        <v>0.98849776029825021</v>
      </c>
      <c r="L18">
        <v>13266671</v>
      </c>
      <c r="M18">
        <v>10481445</v>
      </c>
      <c r="N18">
        <v>2785226</v>
      </c>
      <c r="O18">
        <v>10440764</v>
      </c>
      <c r="P18">
        <v>40681</v>
      </c>
      <c r="Q18" s="27"/>
      <c r="R18" s="27">
        <f t="shared" si="2"/>
        <v>130068</v>
      </c>
      <c r="S18" s="27">
        <f t="shared" si="3"/>
        <v>0</v>
      </c>
      <c r="T18" s="27">
        <f t="shared" si="4"/>
        <v>9577</v>
      </c>
      <c r="U18" s="27">
        <f t="shared" si="5"/>
        <v>0</v>
      </c>
      <c r="V18" s="27"/>
      <c r="W18" s="27"/>
      <c r="X18" s="27"/>
      <c r="Y18" s="27"/>
    </row>
    <row r="19" spans="1:25" x14ac:dyDescent="0.25">
      <c r="A19" s="18" t="s">
        <v>88</v>
      </c>
      <c r="B19" s="33" t="s">
        <v>89</v>
      </c>
      <c r="C19" s="43">
        <v>5571408</v>
      </c>
      <c r="D19" s="43">
        <v>5518608</v>
      </c>
      <c r="E19" s="43">
        <f t="shared" si="6"/>
        <v>52800</v>
      </c>
      <c r="F19" s="43">
        <v>5518608</v>
      </c>
      <c r="G19" s="43">
        <f t="shared" si="7"/>
        <v>0</v>
      </c>
      <c r="H19" s="11">
        <f t="shared" si="0"/>
        <v>0.99052304193123175</v>
      </c>
      <c r="I19" s="11">
        <f t="shared" si="1"/>
        <v>0.99052304193123175</v>
      </c>
      <c r="L19">
        <v>4870889</v>
      </c>
      <c r="M19">
        <v>2381080</v>
      </c>
      <c r="N19">
        <v>2489809</v>
      </c>
      <c r="O19">
        <v>2298740</v>
      </c>
      <c r="P19">
        <v>82340</v>
      </c>
      <c r="Q19" s="27"/>
      <c r="R19" s="27">
        <f t="shared" si="2"/>
        <v>52800</v>
      </c>
      <c r="S19" s="27">
        <f t="shared" si="3"/>
        <v>0</v>
      </c>
      <c r="T19" s="27">
        <f t="shared" si="4"/>
        <v>0</v>
      </c>
      <c r="U19" s="27">
        <f t="shared" si="5"/>
        <v>0</v>
      </c>
      <c r="V19" s="27"/>
      <c r="W19" s="27"/>
      <c r="X19" s="27"/>
      <c r="Y19" s="27"/>
    </row>
    <row r="20" spans="1:25" x14ac:dyDescent="0.25">
      <c r="A20" s="18" t="s">
        <v>90</v>
      </c>
      <c r="B20" s="33" t="s">
        <v>91</v>
      </c>
      <c r="C20" s="111">
        <f>10259414-153000</f>
        <v>10106414</v>
      </c>
      <c r="D20" s="43">
        <v>9766525</v>
      </c>
      <c r="E20" s="43">
        <f t="shared" si="6"/>
        <v>339889</v>
      </c>
      <c r="F20" s="43">
        <v>9766525</v>
      </c>
      <c r="G20" s="43">
        <f t="shared" si="7"/>
        <v>0</v>
      </c>
      <c r="H20" s="11">
        <f t="shared" si="0"/>
        <v>0.96636898112426428</v>
      </c>
      <c r="I20" s="11">
        <f t="shared" si="1"/>
        <v>0.96636898112426428</v>
      </c>
      <c r="L20">
        <v>8155288</v>
      </c>
      <c r="M20">
        <v>5078265</v>
      </c>
      <c r="N20">
        <v>3077023</v>
      </c>
      <c r="O20">
        <v>4954161</v>
      </c>
      <c r="P20">
        <v>124104</v>
      </c>
      <c r="Q20" s="27"/>
      <c r="R20" s="27">
        <f t="shared" si="2"/>
        <v>339889</v>
      </c>
      <c r="S20" s="27">
        <f t="shared" si="3"/>
        <v>0</v>
      </c>
      <c r="T20" s="27">
        <f t="shared" si="4"/>
        <v>0</v>
      </c>
      <c r="U20" s="27">
        <f t="shared" si="5"/>
        <v>0</v>
      </c>
      <c r="V20" s="27"/>
      <c r="W20" s="27"/>
      <c r="X20" s="27"/>
      <c r="Y20" s="27"/>
    </row>
    <row r="21" spans="1:25" x14ac:dyDescent="0.25">
      <c r="A21" s="18" t="s">
        <v>121</v>
      </c>
      <c r="B21" s="33" t="s">
        <v>122</v>
      </c>
      <c r="C21" s="111">
        <f>4067661-13000-103880</f>
        <v>3950781</v>
      </c>
      <c r="D21" s="43">
        <v>3834254</v>
      </c>
      <c r="E21" s="43">
        <f t="shared" si="6"/>
        <v>116527</v>
      </c>
      <c r="F21" s="43">
        <v>3834254</v>
      </c>
      <c r="G21" s="43">
        <f t="shared" si="7"/>
        <v>0</v>
      </c>
      <c r="H21" s="11">
        <f t="shared" si="0"/>
        <v>0.97050532540274947</v>
      </c>
      <c r="I21" s="11">
        <f t="shared" si="1"/>
        <v>0.97050532540274947</v>
      </c>
      <c r="Q21" s="27"/>
      <c r="R21" s="27">
        <f t="shared" si="2"/>
        <v>116527</v>
      </c>
      <c r="S21" s="27">
        <f t="shared" si="3"/>
        <v>0</v>
      </c>
      <c r="T21" s="27">
        <f t="shared" si="4"/>
        <v>0</v>
      </c>
      <c r="U21" s="27">
        <f t="shared" si="5"/>
        <v>0</v>
      </c>
      <c r="V21" s="27"/>
      <c r="W21" s="27"/>
      <c r="X21" s="27"/>
      <c r="Y21" s="27"/>
    </row>
    <row r="22" spans="1:25" x14ac:dyDescent="0.25">
      <c r="A22" s="28" t="s">
        <v>115</v>
      </c>
      <c r="B22" s="44" t="s">
        <v>116</v>
      </c>
      <c r="C22" s="45">
        <f>+C23</f>
        <v>441155</v>
      </c>
      <c r="D22" s="45">
        <f>+D23</f>
        <v>440494</v>
      </c>
      <c r="E22" s="45">
        <f t="shared" si="6"/>
        <v>661</v>
      </c>
      <c r="F22" s="45">
        <f>+F23</f>
        <v>440494</v>
      </c>
      <c r="G22" s="45">
        <f t="shared" si="7"/>
        <v>0</v>
      </c>
      <c r="H22" s="31">
        <f t="shared" si="0"/>
        <v>0.99850166041414012</v>
      </c>
      <c r="I22" s="31">
        <f t="shared" si="1"/>
        <v>0.99850166041414012</v>
      </c>
      <c r="Q22" s="27"/>
      <c r="R22" s="27"/>
      <c r="S22" s="27"/>
      <c r="T22" s="27"/>
      <c r="U22" s="27"/>
      <c r="V22" s="27"/>
      <c r="W22" s="27"/>
      <c r="X22" s="27"/>
      <c r="Y22" s="27"/>
    </row>
    <row r="23" spans="1:25" x14ac:dyDescent="0.25">
      <c r="A23" s="18" t="s">
        <v>119</v>
      </c>
      <c r="B23" s="33" t="s">
        <v>120</v>
      </c>
      <c r="C23" s="111">
        <f>464155-23000</f>
        <v>441155</v>
      </c>
      <c r="D23" s="43">
        <v>440494</v>
      </c>
      <c r="E23" s="43">
        <f t="shared" si="6"/>
        <v>661</v>
      </c>
      <c r="F23" s="43">
        <v>440494</v>
      </c>
      <c r="G23" s="43">
        <f t="shared" si="7"/>
        <v>0</v>
      </c>
      <c r="H23" s="11">
        <f t="shared" si="0"/>
        <v>0.99850166041414012</v>
      </c>
      <c r="I23" s="11">
        <f t="shared" si="1"/>
        <v>0.99850166041414012</v>
      </c>
      <c r="Q23" s="27"/>
      <c r="R23" s="27"/>
      <c r="S23" s="27"/>
      <c r="T23" s="27"/>
      <c r="U23" s="27"/>
      <c r="V23" s="27"/>
      <c r="W23" s="27"/>
      <c r="X23" s="27"/>
      <c r="Y23" s="27"/>
    </row>
    <row r="24" spans="1:25" x14ac:dyDescent="0.25">
      <c r="A24" s="5">
        <v>34</v>
      </c>
      <c r="B24" s="6" t="s">
        <v>79</v>
      </c>
      <c r="C24" s="42">
        <f>+C25</f>
        <v>821156</v>
      </c>
      <c r="D24" s="42">
        <f>+D25</f>
        <v>820598</v>
      </c>
      <c r="E24" s="42">
        <f t="shared" si="6"/>
        <v>558</v>
      </c>
      <c r="F24" s="42">
        <f>+F25</f>
        <v>820598</v>
      </c>
      <c r="G24" s="42">
        <f t="shared" si="7"/>
        <v>0</v>
      </c>
      <c r="H24" s="8">
        <f t="shared" si="0"/>
        <v>0.99932047016644832</v>
      </c>
      <c r="I24" s="8">
        <f t="shared" si="1"/>
        <v>0.99932047016644832</v>
      </c>
      <c r="L24">
        <v>140929</v>
      </c>
      <c r="M24">
        <v>140929</v>
      </c>
      <c r="N24">
        <v>0</v>
      </c>
      <c r="O24">
        <v>140929</v>
      </c>
      <c r="P24">
        <v>0</v>
      </c>
      <c r="Q24" s="27"/>
      <c r="R24" s="27">
        <f t="shared" si="2"/>
        <v>558</v>
      </c>
      <c r="S24" s="27">
        <f t="shared" si="3"/>
        <v>0</v>
      </c>
      <c r="T24" s="27">
        <f t="shared" si="4"/>
        <v>0</v>
      </c>
      <c r="U24" s="27">
        <f t="shared" si="5"/>
        <v>0</v>
      </c>
      <c r="V24" s="27"/>
      <c r="W24" s="27"/>
      <c r="X24" s="27"/>
      <c r="Y24" s="27"/>
    </row>
    <row r="25" spans="1:25" x14ac:dyDescent="0.25">
      <c r="A25" s="18" t="s">
        <v>80</v>
      </c>
      <c r="B25" s="33" t="s">
        <v>81</v>
      </c>
      <c r="C25" s="43">
        <v>821156</v>
      </c>
      <c r="D25" s="43">
        <v>820598</v>
      </c>
      <c r="E25" s="43">
        <f t="shared" si="6"/>
        <v>558</v>
      </c>
      <c r="F25" s="43">
        <v>820598</v>
      </c>
      <c r="G25" s="43">
        <f t="shared" si="7"/>
        <v>0</v>
      </c>
      <c r="H25" s="11">
        <f t="shared" si="0"/>
        <v>0.99932047016644832</v>
      </c>
      <c r="I25" s="11">
        <f t="shared" si="1"/>
        <v>0.99932047016644832</v>
      </c>
      <c r="L25">
        <v>140929</v>
      </c>
      <c r="M25">
        <v>140929</v>
      </c>
      <c r="N25">
        <v>0</v>
      </c>
      <c r="O25">
        <v>140929</v>
      </c>
      <c r="P25">
        <v>0</v>
      </c>
      <c r="Q25" s="27"/>
      <c r="R25" s="27">
        <f t="shared" si="2"/>
        <v>558</v>
      </c>
      <c r="S25" s="27">
        <f t="shared" si="3"/>
        <v>0</v>
      </c>
      <c r="T25" s="27">
        <f t="shared" si="4"/>
        <v>0</v>
      </c>
      <c r="U25" s="27">
        <f t="shared" si="5"/>
        <v>0</v>
      </c>
      <c r="V25" s="27"/>
      <c r="W25" s="27"/>
      <c r="X25" s="27"/>
      <c r="Y25" s="27"/>
    </row>
    <row r="26" spans="1:25" x14ac:dyDescent="0.25">
      <c r="A26" s="46" t="s">
        <v>92</v>
      </c>
      <c r="B26" s="47" t="s">
        <v>27</v>
      </c>
      <c r="C26" s="42">
        <v>900</v>
      </c>
      <c r="D26" s="42">
        <v>0</v>
      </c>
      <c r="E26" s="42">
        <f t="shared" si="6"/>
        <v>900</v>
      </c>
      <c r="F26" s="42">
        <v>0</v>
      </c>
      <c r="G26" s="42">
        <f t="shared" si="7"/>
        <v>0</v>
      </c>
      <c r="H26" s="8">
        <f t="shared" si="0"/>
        <v>0</v>
      </c>
      <c r="I26" s="8">
        <f t="shared" si="1"/>
        <v>0</v>
      </c>
      <c r="L26">
        <v>1000</v>
      </c>
      <c r="M26">
        <v>0</v>
      </c>
      <c r="N26">
        <v>1000</v>
      </c>
      <c r="O26">
        <v>0</v>
      </c>
      <c r="P26">
        <v>0</v>
      </c>
      <c r="Q26" s="27"/>
      <c r="R26" s="27">
        <f t="shared" si="2"/>
        <v>900</v>
      </c>
      <c r="S26" s="27">
        <f t="shared" si="3"/>
        <v>0</v>
      </c>
      <c r="T26" s="27">
        <f t="shared" si="4"/>
        <v>0</v>
      </c>
      <c r="U26" s="27">
        <f t="shared" si="5"/>
        <v>0</v>
      </c>
      <c r="V26" s="27"/>
      <c r="W26" s="27"/>
      <c r="X26" s="27"/>
      <c r="Y26" s="27"/>
    </row>
    <row r="27" spans="1:25" x14ac:dyDescent="0.25">
      <c r="A27" s="48"/>
      <c r="B27" s="49" t="s">
        <v>93</v>
      </c>
      <c r="C27" s="50">
        <f>+C6+C14+C15+C24+C26</f>
        <v>43576847</v>
      </c>
      <c r="D27" s="50">
        <f t="shared" ref="D27:G27" si="8">+D6+D14+D15+D24+D26</f>
        <v>42453830</v>
      </c>
      <c r="E27" s="50">
        <f t="shared" si="8"/>
        <v>1123017</v>
      </c>
      <c r="F27" s="50">
        <f t="shared" si="8"/>
        <v>42441318</v>
      </c>
      <c r="G27" s="50">
        <f t="shared" si="8"/>
        <v>12512</v>
      </c>
      <c r="H27" s="51">
        <f t="shared" si="0"/>
        <v>0.97422904415273548</v>
      </c>
      <c r="I27" s="51">
        <f t="shared" si="1"/>
        <v>0.97394191920310347</v>
      </c>
      <c r="Q27" s="27"/>
      <c r="R27" s="27">
        <f t="shared" si="2"/>
        <v>1123017</v>
      </c>
      <c r="S27" s="27">
        <f t="shared" si="3"/>
        <v>0</v>
      </c>
      <c r="T27" s="27">
        <f t="shared" si="4"/>
        <v>12512</v>
      </c>
      <c r="U27" s="27">
        <f t="shared" si="5"/>
        <v>0</v>
      </c>
      <c r="V27" s="27"/>
      <c r="W27" s="27"/>
      <c r="X27" s="27"/>
      <c r="Y27" s="27"/>
    </row>
    <row r="28" spans="1:25" x14ac:dyDescent="0.25">
      <c r="C28" s="27"/>
      <c r="D28" s="27"/>
      <c r="E28" s="27"/>
      <c r="F28" s="27"/>
      <c r="G28" s="27"/>
    </row>
    <row r="29" spans="1:25" ht="15" customHeight="1" x14ac:dyDescent="0.25">
      <c r="A29" s="107"/>
      <c r="B29" s="107"/>
      <c r="C29" s="107"/>
      <c r="D29" s="107"/>
      <c r="E29" s="107"/>
      <c r="F29" s="107"/>
      <c r="G29" s="107"/>
      <c r="H29" s="107"/>
      <c r="I29" s="107"/>
    </row>
    <row r="30" spans="1:25" ht="15" customHeight="1" x14ac:dyDescent="0.25">
      <c r="A30" s="107"/>
      <c r="B30" s="107"/>
      <c r="C30" s="107"/>
      <c r="D30" s="107"/>
      <c r="E30" s="107"/>
      <c r="F30" s="107"/>
      <c r="G30" s="107"/>
      <c r="H30" s="107"/>
      <c r="I30" s="107"/>
    </row>
    <row r="31" spans="1:25" ht="15" customHeight="1" x14ac:dyDescent="0.25">
      <c r="A31" s="107"/>
      <c r="B31" s="107"/>
      <c r="C31" s="107"/>
      <c r="D31" s="107"/>
      <c r="E31" s="107"/>
      <c r="F31" s="107"/>
      <c r="G31" s="107"/>
      <c r="H31" s="107"/>
      <c r="I31" s="107"/>
    </row>
    <row r="32" spans="1:25" ht="15" customHeight="1" x14ac:dyDescent="0.25">
      <c r="A32" s="107"/>
      <c r="B32" s="107"/>
      <c r="C32" s="107"/>
      <c r="D32" s="107"/>
      <c r="E32" s="107"/>
      <c r="F32" s="107"/>
      <c r="G32" s="107"/>
      <c r="H32" s="107"/>
      <c r="I32" s="107"/>
    </row>
    <row r="33" spans="1:9" ht="15" customHeight="1" x14ac:dyDescent="0.25">
      <c r="A33" s="107"/>
      <c r="B33" s="107"/>
      <c r="C33" s="107"/>
      <c r="D33" s="107"/>
      <c r="E33" s="107"/>
      <c r="F33" s="107"/>
      <c r="G33" s="107"/>
      <c r="H33" s="107"/>
      <c r="I33" s="107"/>
    </row>
    <row r="34" spans="1:9" ht="15" customHeight="1" x14ac:dyDescent="0.25">
      <c r="A34" s="107"/>
      <c r="B34" s="107"/>
      <c r="C34" s="107"/>
      <c r="D34" s="107"/>
      <c r="E34" s="107"/>
      <c r="F34" s="107"/>
      <c r="G34" s="107"/>
      <c r="H34" s="107"/>
      <c r="I34" s="107"/>
    </row>
    <row r="35" spans="1:9" ht="15" customHeight="1" x14ac:dyDescent="0.25">
      <c r="A35" s="107"/>
      <c r="B35" s="107"/>
      <c r="C35" s="107"/>
      <c r="D35" s="107"/>
      <c r="E35" s="107"/>
      <c r="F35" s="107"/>
      <c r="G35" s="107"/>
      <c r="H35" s="107"/>
      <c r="I35" s="107"/>
    </row>
    <row r="36" spans="1:9" ht="15" customHeight="1" x14ac:dyDescent="0.25">
      <c r="A36" s="107"/>
      <c r="B36" s="107"/>
      <c r="C36" s="107"/>
      <c r="D36" s="107"/>
      <c r="E36" s="107"/>
      <c r="F36" s="107"/>
      <c r="G36" s="107"/>
      <c r="H36" s="107"/>
      <c r="I36" s="107"/>
    </row>
    <row r="37" spans="1:9" ht="15" customHeight="1" x14ac:dyDescent="0.25">
      <c r="A37" s="107"/>
      <c r="B37" s="107"/>
      <c r="C37" s="107"/>
      <c r="D37" s="107"/>
      <c r="E37" s="107"/>
      <c r="F37" s="107"/>
      <c r="G37" s="107"/>
      <c r="H37" s="107"/>
      <c r="I37" s="107"/>
    </row>
    <row r="39" spans="1:9" x14ac:dyDescent="0.25">
      <c r="G39" t="s">
        <v>82</v>
      </c>
    </row>
  </sheetData>
  <mergeCells count="2">
    <mergeCell ref="A2:J2"/>
    <mergeCell ref="A3:J3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Y31"/>
  <sheetViews>
    <sheetView showGridLines="0" zoomScale="90" zoomScaleNormal="90" workbookViewId="0">
      <selection activeCell="A2" sqref="A2:J2"/>
    </sheetView>
  </sheetViews>
  <sheetFormatPr baseColWidth="10" defaultRowHeight="15" x14ac:dyDescent="0.25"/>
  <cols>
    <col min="1" max="1" width="11.42578125" style="26"/>
    <col min="2" max="2" width="45.5703125" customWidth="1"/>
    <col min="3" max="3" width="14.85546875" customWidth="1"/>
    <col min="4" max="4" width="14.7109375" customWidth="1"/>
    <col min="5" max="5" width="16.5703125" customWidth="1"/>
    <col min="6" max="6" width="14.5703125" customWidth="1"/>
    <col min="7" max="7" width="15.7109375" customWidth="1"/>
    <col min="8" max="8" width="13.42578125" customWidth="1"/>
    <col min="9" max="9" width="10.7109375" customWidth="1"/>
    <col min="10" max="10" width="10.85546875" customWidth="1"/>
    <col min="11" max="11" width="11.5703125" customWidth="1"/>
    <col min="12" max="17" width="0" hidden="1" customWidth="1"/>
    <col min="18" max="21" width="11.42578125" hidden="1" customWidth="1"/>
    <col min="22" max="22" width="0" hidden="1" customWidth="1"/>
  </cols>
  <sheetData>
    <row r="1" spans="1:25" x14ac:dyDescent="0.25">
      <c r="F1" s="27"/>
    </row>
    <row r="2" spans="1:25" x14ac:dyDescent="0.25">
      <c r="A2" s="115" t="s">
        <v>131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25" x14ac:dyDescent="0.25">
      <c r="A3" s="114" t="s">
        <v>134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25" x14ac:dyDescent="0.25">
      <c r="C4" s="27"/>
      <c r="D4" s="27"/>
      <c r="F4" s="27"/>
    </row>
    <row r="5" spans="1:25" ht="25.5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3" t="s">
        <v>6</v>
      </c>
      <c r="H5" s="4" t="s">
        <v>7</v>
      </c>
      <c r="I5" s="4" t="s">
        <v>8</v>
      </c>
      <c r="V5" s="27"/>
      <c r="W5" s="27"/>
      <c r="X5" s="27"/>
      <c r="Y5" s="27"/>
    </row>
    <row r="6" spans="1:25" x14ac:dyDescent="0.25">
      <c r="A6" s="21">
        <v>21</v>
      </c>
      <c r="B6" s="6" t="s">
        <v>9</v>
      </c>
      <c r="C6" s="42">
        <f>+C7</f>
        <v>200620</v>
      </c>
      <c r="D6" s="42">
        <f>+D7</f>
        <v>189998</v>
      </c>
      <c r="E6" s="42">
        <f t="shared" ref="E6:E18" si="0">+C6-D6</f>
        <v>10622</v>
      </c>
      <c r="F6" s="42">
        <f>+F7</f>
        <v>188848</v>
      </c>
      <c r="G6" s="42">
        <f t="shared" ref="G6:G18" si="1">+D6-F6</f>
        <v>1150</v>
      </c>
      <c r="H6" s="8">
        <f t="shared" ref="H6:H19" si="2">+D6/C6</f>
        <v>0.9470541321902104</v>
      </c>
      <c r="I6" s="8">
        <f t="shared" ref="I6:I19" si="3">+F6/C6</f>
        <v>0.94132190210347921</v>
      </c>
      <c r="L6">
        <v>140929</v>
      </c>
      <c r="M6">
        <v>140929</v>
      </c>
      <c r="N6">
        <v>0</v>
      </c>
      <c r="O6">
        <v>140929</v>
      </c>
      <c r="P6">
        <v>0</v>
      </c>
      <c r="Q6" s="27"/>
      <c r="R6" s="27">
        <f t="shared" ref="R6:R19" si="4">C6-D6</f>
        <v>10622</v>
      </c>
      <c r="S6" s="27">
        <f t="shared" ref="S6:S19" si="5">E6-R6</f>
        <v>0</v>
      </c>
      <c r="T6" s="27">
        <f t="shared" ref="T6:T19" si="6">D6-F6</f>
        <v>1150</v>
      </c>
      <c r="U6" s="27">
        <f t="shared" ref="U6:U19" si="7">G6-T6</f>
        <v>0</v>
      </c>
      <c r="V6" s="27"/>
      <c r="W6" s="27"/>
      <c r="X6" s="27"/>
      <c r="Y6" s="27"/>
    </row>
    <row r="7" spans="1:25" x14ac:dyDescent="0.25">
      <c r="A7" s="18"/>
      <c r="B7" s="12" t="s">
        <v>15</v>
      </c>
      <c r="C7" s="43">
        <v>200620</v>
      </c>
      <c r="D7" s="43">
        <v>189998</v>
      </c>
      <c r="E7" s="43">
        <f>+C7-D7</f>
        <v>10622</v>
      </c>
      <c r="F7" s="43">
        <v>188848</v>
      </c>
      <c r="G7" s="43">
        <f t="shared" si="1"/>
        <v>1150</v>
      </c>
      <c r="H7" s="11">
        <f t="shared" si="2"/>
        <v>0.9470541321902104</v>
      </c>
      <c r="I7" s="11">
        <f t="shared" si="3"/>
        <v>0.94132190210347921</v>
      </c>
      <c r="Q7" s="27"/>
      <c r="R7" s="27"/>
      <c r="S7" s="27"/>
      <c r="T7" s="27"/>
      <c r="U7" s="27"/>
      <c r="V7" s="27"/>
      <c r="W7" s="27"/>
      <c r="X7" s="27"/>
      <c r="Y7" s="27"/>
    </row>
    <row r="8" spans="1:25" x14ac:dyDescent="0.25">
      <c r="A8" s="21">
        <v>24</v>
      </c>
      <c r="B8" s="6" t="s">
        <v>31</v>
      </c>
      <c r="C8" s="42">
        <f>+C9</f>
        <v>12199880</v>
      </c>
      <c r="D8" s="42">
        <f>+D9</f>
        <v>12113491</v>
      </c>
      <c r="E8" s="42">
        <f>+C8-D8</f>
        <v>86389</v>
      </c>
      <c r="F8" s="42">
        <f>+F9</f>
        <v>12108681</v>
      </c>
      <c r="G8" s="42">
        <f t="shared" si="1"/>
        <v>4810</v>
      </c>
      <c r="H8" s="8">
        <f t="shared" si="2"/>
        <v>0.99291886477571911</v>
      </c>
      <c r="I8" s="8">
        <f t="shared" si="3"/>
        <v>0.99252459860260922</v>
      </c>
      <c r="Q8" s="27"/>
      <c r="R8" s="27"/>
      <c r="S8" s="27"/>
      <c r="T8" s="27"/>
      <c r="U8" s="27"/>
      <c r="V8" s="27"/>
      <c r="W8" s="27"/>
      <c r="X8" s="27"/>
      <c r="Y8" s="27"/>
    </row>
    <row r="9" spans="1:25" x14ac:dyDescent="0.25">
      <c r="A9" s="28" t="s">
        <v>54</v>
      </c>
      <c r="B9" s="44" t="s">
        <v>55</v>
      </c>
      <c r="C9" s="45">
        <f>SUM(C10:C16)</f>
        <v>12199880</v>
      </c>
      <c r="D9" s="45">
        <f>SUM(D10:D16)</f>
        <v>12113491</v>
      </c>
      <c r="E9" s="45">
        <f>+C9-D9</f>
        <v>86389</v>
      </c>
      <c r="F9" s="45">
        <f>SUM(F10:F16)</f>
        <v>12108681</v>
      </c>
      <c r="G9" s="45">
        <f t="shared" si="1"/>
        <v>4810</v>
      </c>
      <c r="H9" s="31">
        <f t="shared" si="2"/>
        <v>0.99291886477571911</v>
      </c>
      <c r="I9" s="31">
        <f t="shared" si="3"/>
        <v>0.99252459860260922</v>
      </c>
      <c r="Q9" s="27"/>
      <c r="R9" s="27"/>
      <c r="S9" s="27"/>
      <c r="T9" s="27"/>
      <c r="U9" s="27"/>
      <c r="V9" s="27"/>
      <c r="W9" s="27"/>
      <c r="X9" s="27"/>
      <c r="Y9" s="27"/>
    </row>
    <row r="10" spans="1:25" x14ac:dyDescent="0.25">
      <c r="A10" s="18" t="s">
        <v>84</v>
      </c>
      <c r="B10" s="33" t="s">
        <v>85</v>
      </c>
      <c r="C10" s="43">
        <v>1075336</v>
      </c>
      <c r="D10" s="43">
        <v>1059841</v>
      </c>
      <c r="E10" s="43">
        <f>+C10-D10</f>
        <v>15495</v>
      </c>
      <c r="F10" s="43">
        <v>1059841</v>
      </c>
      <c r="G10" s="43">
        <f t="shared" si="1"/>
        <v>0</v>
      </c>
      <c r="H10" s="11">
        <f t="shared" si="2"/>
        <v>0.98559055030241716</v>
      </c>
      <c r="I10" s="11">
        <f t="shared" si="3"/>
        <v>0.98559055030241716</v>
      </c>
      <c r="Q10" s="27"/>
      <c r="R10" s="27"/>
      <c r="S10" s="27"/>
      <c r="T10" s="27"/>
      <c r="U10" s="27"/>
      <c r="V10" s="27"/>
      <c r="W10" s="27"/>
      <c r="X10" s="27"/>
      <c r="Y10" s="27"/>
    </row>
    <row r="11" spans="1:25" x14ac:dyDescent="0.25">
      <c r="A11" s="18" t="s">
        <v>86</v>
      </c>
      <c r="B11" s="33" t="s">
        <v>87</v>
      </c>
      <c r="C11" s="43">
        <v>1375336</v>
      </c>
      <c r="D11" s="43">
        <v>1349863</v>
      </c>
      <c r="E11" s="43">
        <f t="shared" ref="E11:E17" si="8">+C11-D11</f>
        <v>25473</v>
      </c>
      <c r="F11" s="43">
        <v>1349863</v>
      </c>
      <c r="G11" s="43">
        <f t="shared" si="1"/>
        <v>0</v>
      </c>
      <c r="H11" s="11">
        <f t="shared" si="2"/>
        <v>0.98147870774850654</v>
      </c>
      <c r="I11" s="11">
        <f t="shared" si="3"/>
        <v>0.98147870774850654</v>
      </c>
      <c r="Q11" s="27"/>
      <c r="R11" s="27"/>
      <c r="S11" s="27"/>
      <c r="T11" s="27"/>
      <c r="U11" s="27"/>
      <c r="V11" s="27"/>
      <c r="W11" s="27"/>
      <c r="X11" s="27"/>
      <c r="Y11" s="27"/>
    </row>
    <row r="12" spans="1:25" x14ac:dyDescent="0.25">
      <c r="A12" s="18" t="s">
        <v>62</v>
      </c>
      <c r="B12" s="20" t="s">
        <v>63</v>
      </c>
      <c r="C12" s="43">
        <v>1560700</v>
      </c>
      <c r="D12" s="43">
        <v>1541889</v>
      </c>
      <c r="E12" s="43">
        <f t="shared" si="8"/>
        <v>18811</v>
      </c>
      <c r="F12" s="43">
        <v>1541889</v>
      </c>
      <c r="G12" s="43">
        <f t="shared" si="1"/>
        <v>0</v>
      </c>
      <c r="H12" s="11">
        <f t="shared" si="2"/>
        <v>0.98794707503043511</v>
      </c>
      <c r="I12" s="11">
        <f t="shared" si="3"/>
        <v>0.98794707503043511</v>
      </c>
      <c r="Q12" s="27"/>
      <c r="R12" s="27"/>
      <c r="S12" s="27"/>
      <c r="T12" s="27"/>
      <c r="U12" s="27"/>
      <c r="V12" s="27"/>
      <c r="W12" s="27"/>
      <c r="X12" s="27"/>
      <c r="Y12" s="27"/>
    </row>
    <row r="13" spans="1:25" x14ac:dyDescent="0.25">
      <c r="A13" s="18" t="s">
        <v>66</v>
      </c>
      <c r="B13" s="20" t="s">
        <v>118</v>
      </c>
      <c r="C13" s="43">
        <v>3000000</v>
      </c>
      <c r="D13" s="43">
        <v>2988480</v>
      </c>
      <c r="E13" s="43">
        <f t="shared" si="8"/>
        <v>11520</v>
      </c>
      <c r="F13" s="43">
        <v>2988480</v>
      </c>
      <c r="G13" s="43">
        <f t="shared" si="1"/>
        <v>0</v>
      </c>
      <c r="H13" s="11">
        <f t="shared" si="2"/>
        <v>0.99616000000000005</v>
      </c>
      <c r="I13" s="11">
        <f t="shared" si="3"/>
        <v>0.99616000000000005</v>
      </c>
      <c r="Q13" s="27"/>
      <c r="R13" s="27"/>
      <c r="S13" s="27"/>
      <c r="T13" s="27"/>
      <c r="U13" s="27"/>
      <c r="V13" s="27"/>
      <c r="W13" s="27"/>
      <c r="X13" s="27"/>
      <c r="Y13" s="27"/>
    </row>
    <row r="14" spans="1:25" x14ac:dyDescent="0.25">
      <c r="A14" s="18" t="s">
        <v>88</v>
      </c>
      <c r="B14" s="33" t="s">
        <v>89</v>
      </c>
      <c r="C14" s="43">
        <v>1275336</v>
      </c>
      <c r="D14" s="43">
        <v>1273475</v>
      </c>
      <c r="E14" s="43">
        <f t="shared" si="8"/>
        <v>1861</v>
      </c>
      <c r="F14" s="43">
        <v>1273475</v>
      </c>
      <c r="G14" s="43">
        <f t="shared" si="1"/>
        <v>0</v>
      </c>
      <c r="H14" s="11">
        <f t="shared" si="2"/>
        <v>0.99854077670511932</v>
      </c>
      <c r="I14" s="11">
        <f t="shared" si="3"/>
        <v>0.99854077670511932</v>
      </c>
      <c r="Q14" s="27"/>
      <c r="R14" s="27"/>
      <c r="S14" s="27"/>
      <c r="T14" s="27"/>
      <c r="U14" s="27"/>
      <c r="V14" s="27"/>
      <c r="W14" s="27"/>
      <c r="X14" s="27"/>
      <c r="Y14" s="27"/>
    </row>
    <row r="15" spans="1:25" x14ac:dyDescent="0.25">
      <c r="A15" s="18" t="s">
        <v>90</v>
      </c>
      <c r="B15" s="33" t="s">
        <v>91</v>
      </c>
      <c r="C15" s="43">
        <v>1575336</v>
      </c>
      <c r="D15" s="43">
        <v>1575336</v>
      </c>
      <c r="E15" s="43">
        <f t="shared" si="8"/>
        <v>0</v>
      </c>
      <c r="F15" s="43">
        <v>1575336</v>
      </c>
      <c r="G15" s="43">
        <f t="shared" si="1"/>
        <v>0</v>
      </c>
      <c r="H15" s="11">
        <f t="shared" si="2"/>
        <v>1</v>
      </c>
      <c r="I15" s="11">
        <f t="shared" si="3"/>
        <v>1</v>
      </c>
      <c r="Q15" s="27"/>
      <c r="R15" s="27"/>
      <c r="S15" s="27"/>
      <c r="T15" s="27"/>
      <c r="U15" s="27"/>
      <c r="V15" s="27"/>
      <c r="W15" s="27"/>
      <c r="X15" s="27"/>
      <c r="Y15" s="27"/>
    </row>
    <row r="16" spans="1:25" x14ac:dyDescent="0.25">
      <c r="A16" s="18" t="s">
        <v>121</v>
      </c>
      <c r="B16" s="33" t="s">
        <v>122</v>
      </c>
      <c r="C16" s="43">
        <v>2337836</v>
      </c>
      <c r="D16" s="43">
        <v>2324607</v>
      </c>
      <c r="E16" s="43">
        <f t="shared" si="8"/>
        <v>13229</v>
      </c>
      <c r="F16" s="43">
        <v>2319797</v>
      </c>
      <c r="G16" s="43">
        <f t="shared" si="1"/>
        <v>4810</v>
      </c>
      <c r="H16" s="11">
        <f t="shared" si="2"/>
        <v>0.99434134815273612</v>
      </c>
      <c r="I16" s="11">
        <f t="shared" si="3"/>
        <v>0.99228388988791338</v>
      </c>
      <c r="Q16" s="27"/>
      <c r="R16" s="27"/>
      <c r="S16" s="27"/>
      <c r="T16" s="27"/>
      <c r="U16" s="27"/>
      <c r="V16" s="27"/>
      <c r="W16" s="27"/>
      <c r="X16" s="27"/>
      <c r="Y16" s="27"/>
    </row>
    <row r="17" spans="1:25" x14ac:dyDescent="0.25">
      <c r="A17" s="21">
        <v>31</v>
      </c>
      <c r="B17" s="6" t="s">
        <v>107</v>
      </c>
      <c r="C17" s="42">
        <f>+C18</f>
        <v>1636000</v>
      </c>
      <c r="D17" s="42">
        <f>+D18</f>
        <v>1126058</v>
      </c>
      <c r="E17" s="42">
        <f t="shared" si="8"/>
        <v>509942</v>
      </c>
      <c r="F17" s="42">
        <f>+F18</f>
        <v>1126058</v>
      </c>
      <c r="G17" s="42">
        <f t="shared" si="1"/>
        <v>0</v>
      </c>
      <c r="H17" s="8">
        <f t="shared" si="2"/>
        <v>0.68829951100244502</v>
      </c>
      <c r="I17" s="8">
        <f t="shared" si="3"/>
        <v>0.68829951100244502</v>
      </c>
      <c r="L17">
        <v>140929</v>
      </c>
      <c r="M17">
        <v>140929</v>
      </c>
      <c r="N17">
        <v>0</v>
      </c>
      <c r="O17">
        <v>140929</v>
      </c>
      <c r="P17">
        <v>0</v>
      </c>
      <c r="Q17" s="27"/>
      <c r="R17" s="27">
        <f t="shared" ref="R17" si="9">C17-D17</f>
        <v>509942</v>
      </c>
      <c r="S17" s="27">
        <f t="shared" ref="S17" si="10">E17-R17</f>
        <v>0</v>
      </c>
      <c r="T17" s="27">
        <f t="shared" ref="T17" si="11">D17-F17</f>
        <v>0</v>
      </c>
      <c r="U17" s="27">
        <f t="shared" ref="U17" si="12">G17-T17</f>
        <v>0</v>
      </c>
      <c r="V17" s="27"/>
      <c r="W17" s="27"/>
      <c r="X17" s="27"/>
      <c r="Y17" s="27"/>
    </row>
    <row r="18" spans="1:25" x14ac:dyDescent="0.25">
      <c r="A18" s="18" t="s">
        <v>73</v>
      </c>
      <c r="B18" s="33" t="s">
        <v>74</v>
      </c>
      <c r="C18" s="43">
        <v>1636000</v>
      </c>
      <c r="D18" s="43">
        <v>1126058</v>
      </c>
      <c r="E18" s="43">
        <f t="shared" si="0"/>
        <v>509942</v>
      </c>
      <c r="F18" s="43">
        <v>1126058</v>
      </c>
      <c r="G18" s="43">
        <f t="shared" si="1"/>
        <v>0</v>
      </c>
      <c r="H18" s="11">
        <f t="shared" si="2"/>
        <v>0.68829951100244502</v>
      </c>
      <c r="I18" s="11">
        <f t="shared" si="3"/>
        <v>0.68829951100244502</v>
      </c>
      <c r="L18">
        <v>140929</v>
      </c>
      <c r="M18">
        <v>140929</v>
      </c>
      <c r="N18">
        <v>0</v>
      </c>
      <c r="O18">
        <v>140929</v>
      </c>
      <c r="P18">
        <v>0</v>
      </c>
      <c r="Q18" s="27"/>
      <c r="R18" s="27">
        <f t="shared" si="4"/>
        <v>509942</v>
      </c>
      <c r="S18" s="27">
        <f t="shared" si="5"/>
        <v>0</v>
      </c>
      <c r="T18" s="27">
        <f t="shared" si="6"/>
        <v>0</v>
      </c>
      <c r="U18" s="27">
        <f t="shared" si="7"/>
        <v>0</v>
      </c>
      <c r="V18" s="27"/>
      <c r="W18" s="27"/>
      <c r="X18" s="27"/>
      <c r="Y18" s="27"/>
    </row>
    <row r="19" spans="1:25" x14ac:dyDescent="0.25">
      <c r="A19" s="48"/>
      <c r="B19" s="49" t="s">
        <v>93</v>
      </c>
      <c r="C19" s="50">
        <f>+C6+C8+C17</f>
        <v>14036500</v>
      </c>
      <c r="D19" s="50">
        <f t="shared" ref="D19:G19" si="13">+D6+D8+D17</f>
        <v>13429547</v>
      </c>
      <c r="E19" s="50">
        <f t="shared" si="13"/>
        <v>606953</v>
      </c>
      <c r="F19" s="50">
        <f t="shared" si="13"/>
        <v>13423587</v>
      </c>
      <c r="G19" s="50">
        <f t="shared" si="13"/>
        <v>5960</v>
      </c>
      <c r="H19" s="51">
        <f t="shared" si="2"/>
        <v>0.95675894988066823</v>
      </c>
      <c r="I19" s="51">
        <f t="shared" si="3"/>
        <v>0.95633434260677519</v>
      </c>
      <c r="Q19" s="27"/>
      <c r="R19" s="27">
        <f t="shared" si="4"/>
        <v>606953</v>
      </c>
      <c r="S19" s="27">
        <f t="shared" si="5"/>
        <v>0</v>
      </c>
      <c r="T19" s="27">
        <f t="shared" si="6"/>
        <v>5960</v>
      </c>
      <c r="U19" s="27">
        <f t="shared" si="7"/>
        <v>0</v>
      </c>
      <c r="V19" s="27"/>
      <c r="W19" s="27"/>
      <c r="X19" s="27"/>
      <c r="Y19" s="27"/>
    </row>
    <row r="20" spans="1:25" x14ac:dyDescent="0.25">
      <c r="C20" s="27"/>
      <c r="D20" s="27"/>
      <c r="E20" s="27"/>
      <c r="F20" s="27"/>
      <c r="G20" s="27"/>
    </row>
    <row r="21" spans="1:25" x14ac:dyDescent="0.25">
      <c r="C21" s="27"/>
      <c r="D21" s="27"/>
      <c r="E21" s="27"/>
      <c r="F21" s="27"/>
      <c r="G21" s="27"/>
    </row>
    <row r="23" spans="1:25" x14ac:dyDescent="0.25">
      <c r="B23" t="s">
        <v>82</v>
      </c>
    </row>
    <row r="24" spans="1:25" x14ac:dyDescent="0.25">
      <c r="C24" s="27"/>
      <c r="D24" s="27"/>
      <c r="E24" s="27"/>
      <c r="F24" s="27"/>
      <c r="G24" s="27"/>
    </row>
    <row r="25" spans="1:25" x14ac:dyDescent="0.25">
      <c r="C25" s="27"/>
    </row>
    <row r="26" spans="1:25" x14ac:dyDescent="0.25">
      <c r="C26" s="27"/>
    </row>
    <row r="31" spans="1:25" x14ac:dyDescent="0.25">
      <c r="G31" t="s">
        <v>82</v>
      </c>
    </row>
  </sheetData>
  <mergeCells count="2">
    <mergeCell ref="A2:J2"/>
    <mergeCell ref="A3:J3"/>
  </mergeCells>
  <pageMargins left="0.7" right="0.7" top="0.75" bottom="0.75" header="0.3" footer="0.3"/>
  <ignoredErrors>
    <ignoredError sqref="E6 E8:E9 E1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4:R51"/>
  <sheetViews>
    <sheetView topLeftCell="A19" workbookViewId="0">
      <selection activeCell="E41" sqref="E41"/>
    </sheetView>
  </sheetViews>
  <sheetFormatPr baseColWidth="10" defaultRowHeight="15" x14ac:dyDescent="0.25"/>
  <cols>
    <col min="3" max="3" width="29" bestFit="1" customWidth="1"/>
    <col min="4" max="4" width="14.28515625" customWidth="1"/>
    <col min="5" max="5" width="11.42578125" customWidth="1"/>
    <col min="6" max="6" width="12.7109375" customWidth="1"/>
    <col min="7" max="12" width="11.42578125" customWidth="1"/>
  </cols>
  <sheetData>
    <row r="4" spans="2:15" x14ac:dyDescent="0.25">
      <c r="B4" s="117" t="s">
        <v>100</v>
      </c>
      <c r="C4" s="117" t="s">
        <v>101</v>
      </c>
      <c r="D4" s="121" t="s">
        <v>102</v>
      </c>
      <c r="E4" s="122"/>
      <c r="F4" s="123"/>
      <c r="G4" s="121" t="s">
        <v>103</v>
      </c>
      <c r="H4" s="122"/>
      <c r="I4" s="123"/>
      <c r="J4" s="121" t="s">
        <v>133</v>
      </c>
      <c r="K4" s="122"/>
      <c r="L4" s="123"/>
      <c r="M4" s="121" t="s">
        <v>28</v>
      </c>
      <c r="N4" s="122"/>
      <c r="O4" s="123"/>
    </row>
    <row r="5" spans="2:15" x14ac:dyDescent="0.25">
      <c r="B5" s="129"/>
      <c r="C5" s="129"/>
      <c r="D5" s="124" t="s">
        <v>98</v>
      </c>
      <c r="E5" s="125"/>
      <c r="F5" s="126"/>
      <c r="G5" s="124" t="s">
        <v>104</v>
      </c>
      <c r="H5" s="125"/>
      <c r="I5" s="126"/>
      <c r="J5" s="124" t="s">
        <v>132</v>
      </c>
      <c r="K5" s="125"/>
      <c r="L5" s="126"/>
      <c r="M5" s="124" t="s">
        <v>98</v>
      </c>
      <c r="N5" s="125"/>
      <c r="O5" s="126"/>
    </row>
    <row r="6" spans="2:15" x14ac:dyDescent="0.25">
      <c r="B6" s="129"/>
      <c r="C6" s="129"/>
      <c r="D6" s="117" t="s">
        <v>2</v>
      </c>
      <c r="E6" s="117" t="s">
        <v>99</v>
      </c>
      <c r="F6" s="66" t="s">
        <v>105</v>
      </c>
      <c r="G6" s="117" t="s">
        <v>2</v>
      </c>
      <c r="H6" s="117" t="s">
        <v>99</v>
      </c>
      <c r="I6" s="66" t="s">
        <v>105</v>
      </c>
      <c r="J6" s="117" t="s">
        <v>2</v>
      </c>
      <c r="K6" s="117" t="s">
        <v>99</v>
      </c>
      <c r="L6" s="100" t="s">
        <v>105</v>
      </c>
      <c r="M6" s="117" t="s">
        <v>2</v>
      </c>
      <c r="N6" s="117" t="s">
        <v>99</v>
      </c>
      <c r="O6" s="66" t="s">
        <v>105</v>
      </c>
    </row>
    <row r="7" spans="2:15" x14ac:dyDescent="0.25">
      <c r="B7" s="118"/>
      <c r="C7" s="118"/>
      <c r="D7" s="118"/>
      <c r="E7" s="118"/>
      <c r="F7" s="67" t="s">
        <v>99</v>
      </c>
      <c r="G7" s="118"/>
      <c r="H7" s="118"/>
      <c r="I7" s="67" t="s">
        <v>99</v>
      </c>
      <c r="J7" s="118"/>
      <c r="K7" s="118"/>
      <c r="L7" s="101" t="s">
        <v>99</v>
      </c>
      <c r="M7" s="118"/>
      <c r="N7" s="118"/>
      <c r="O7" s="67" t="s">
        <v>99</v>
      </c>
    </row>
    <row r="8" spans="2:15" x14ac:dyDescent="0.25">
      <c r="B8" s="68">
        <v>21</v>
      </c>
      <c r="C8" s="69" t="s">
        <v>9</v>
      </c>
      <c r="D8" s="70">
        <f>VLOOKUP(B8,'01-01'!$A$6:$F$57,3,FALSE)</f>
        <v>19841577</v>
      </c>
      <c r="E8" s="70">
        <f>VLOOKUP(B8,'01-01'!$A$6:$F$57,6,FALSE)</f>
        <v>19800578</v>
      </c>
      <c r="F8" s="72">
        <f>E8/D8</f>
        <v>0.99793368238824964</v>
      </c>
      <c r="G8" s="70">
        <f>VLOOKUP(B8,'01-02'!$A$6:$F$26,3,FALSE)</f>
        <v>3205332</v>
      </c>
      <c r="H8" s="70">
        <f>VLOOKUP(B8,'01-02'!$A$6:$F$26,6,FALSE)</f>
        <v>3160699</v>
      </c>
      <c r="I8" s="74">
        <f>H8/G8</f>
        <v>0.98607538938244155</v>
      </c>
      <c r="J8" s="70">
        <f>VLOOKUP(B8,'01-50'!$A$6:$F$57,3,FALSE)</f>
        <v>200620</v>
      </c>
      <c r="K8" s="70">
        <f>VLOOKUP(B8,'01-50'!$A$6:$F$57,6,FALSE)</f>
        <v>188848</v>
      </c>
      <c r="L8" s="74">
        <f>+K8/J8</f>
        <v>0.94132190210347921</v>
      </c>
      <c r="M8" s="70">
        <f>D8+G8+J8</f>
        <v>23247529</v>
      </c>
      <c r="N8" s="70">
        <f>E8+H8+K8</f>
        <v>23150125</v>
      </c>
      <c r="O8" s="74">
        <f>N8/M8</f>
        <v>0.99581013534814822</v>
      </c>
    </row>
    <row r="9" spans="2:15" x14ac:dyDescent="0.25">
      <c r="B9" s="68">
        <v>22</v>
      </c>
      <c r="C9" s="69" t="s">
        <v>16</v>
      </c>
      <c r="D9" s="70">
        <f>VLOOKUP(B9,'01-01'!$A$6:$F$57,3,FALSE)</f>
        <v>3762175</v>
      </c>
      <c r="E9" s="70">
        <f>VLOOKUP(B9,'01-01'!$A$6:$F$57,6,FALSE)</f>
        <v>3468799</v>
      </c>
      <c r="F9" s="72">
        <f t="shared" ref="F9:F19" si="0">E9/D9</f>
        <v>0.92201957644181887</v>
      </c>
      <c r="G9" s="70">
        <f>VLOOKUP(B9,'01-02'!$A$6:$F$26,3,FALSE)</f>
        <v>110496</v>
      </c>
      <c r="H9" s="70">
        <f>VLOOKUP(B9,'01-02'!$A$6:$F$26,6,FALSE)</f>
        <v>60307</v>
      </c>
      <c r="I9" s="74">
        <f>H9/G9</f>
        <v>0.54578446278598325</v>
      </c>
      <c r="J9" s="73">
        <v>0</v>
      </c>
      <c r="K9" s="73">
        <v>0</v>
      </c>
      <c r="L9" s="74" t="s">
        <v>94</v>
      </c>
      <c r="M9" s="70">
        <f t="shared" ref="M9:M18" si="1">D9+G9+J9</f>
        <v>3872671</v>
      </c>
      <c r="N9" s="70">
        <f t="shared" ref="N9:N18" si="2">E9+H9+K9</f>
        <v>3529106</v>
      </c>
      <c r="O9" s="74">
        <f t="shared" ref="O9:O18" si="3">N9/M9</f>
        <v>0.91128474378536162</v>
      </c>
    </row>
    <row r="10" spans="2:15" x14ac:dyDescent="0.25">
      <c r="B10" s="68">
        <v>23</v>
      </c>
      <c r="C10" s="69" t="s">
        <v>30</v>
      </c>
      <c r="D10" s="70">
        <f>VLOOKUP(B10,'01-01'!$A$6:$F$57,3,FALSE)</f>
        <v>138364</v>
      </c>
      <c r="E10" s="70">
        <f>VLOOKUP(B10,'01-01'!$A$6:$F$57,6,FALSE)</f>
        <v>138364</v>
      </c>
      <c r="F10" s="72">
        <f t="shared" si="0"/>
        <v>1</v>
      </c>
      <c r="G10" s="73">
        <v>0</v>
      </c>
      <c r="H10" s="73">
        <v>0</v>
      </c>
      <c r="I10" s="74">
        <v>0</v>
      </c>
      <c r="J10" s="73">
        <v>0</v>
      </c>
      <c r="K10" s="73">
        <v>0</v>
      </c>
      <c r="L10" s="74" t="s">
        <v>94</v>
      </c>
      <c r="M10" s="70">
        <f t="shared" si="1"/>
        <v>138364</v>
      </c>
      <c r="N10" s="70">
        <f t="shared" si="2"/>
        <v>138364</v>
      </c>
      <c r="O10" s="74">
        <f t="shared" si="3"/>
        <v>1</v>
      </c>
    </row>
    <row r="11" spans="2:15" x14ac:dyDescent="0.25">
      <c r="B11" s="68">
        <v>24</v>
      </c>
      <c r="C11" s="69" t="s">
        <v>31</v>
      </c>
      <c r="D11" s="70">
        <f>VLOOKUP(B11,'01-01'!$A$6:$F$57,3,FALSE)</f>
        <v>59123203</v>
      </c>
      <c r="E11" s="70">
        <f>VLOOKUP(B11,'01-01'!$A$6:$F$57,6,FALSE)</f>
        <v>57837807</v>
      </c>
      <c r="F11" s="72">
        <f t="shared" si="0"/>
        <v>0.97825902632507922</v>
      </c>
      <c r="G11" s="70">
        <f>VLOOKUP(B11,'01-02'!$A$6:$F$26,3,FALSE)</f>
        <v>39438963</v>
      </c>
      <c r="H11" s="70">
        <f>VLOOKUP(B11,'01-02'!$A$6:$F$26,6,FALSE)</f>
        <v>38399714</v>
      </c>
      <c r="I11" s="74">
        <f>H11/G11</f>
        <v>0.97364918038032588</v>
      </c>
      <c r="J11" s="70">
        <f>VLOOKUP(B11,'01-50'!$A$6:$F$57,3,FALSE)</f>
        <v>12199880</v>
      </c>
      <c r="K11" s="70">
        <f>VLOOKUP(B11,'01-50'!$A$6:$F$57,6,FALSE)</f>
        <v>12108681</v>
      </c>
      <c r="L11" s="74">
        <f t="shared" ref="L11:L15" si="4">+K11/J11</f>
        <v>0.99252459860260922</v>
      </c>
      <c r="M11" s="70">
        <f t="shared" si="1"/>
        <v>110762046</v>
      </c>
      <c r="N11" s="70">
        <f t="shared" si="2"/>
        <v>108346202</v>
      </c>
      <c r="O11" s="74">
        <f t="shared" si="3"/>
        <v>0.97818888249861324</v>
      </c>
    </row>
    <row r="12" spans="2:15" x14ac:dyDescent="0.25">
      <c r="B12" s="68">
        <v>25</v>
      </c>
      <c r="C12" s="69" t="s">
        <v>71</v>
      </c>
      <c r="D12" s="70">
        <f>VLOOKUP(B12,'01-01'!$A$6:$F$57,3,FALSE)</f>
        <v>355623</v>
      </c>
      <c r="E12" s="70">
        <f>VLOOKUP(B12,'01-01'!$A$6:$F$57,6,FALSE)</f>
        <v>354937</v>
      </c>
      <c r="F12" s="72">
        <f t="shared" si="0"/>
        <v>0.99807099090891194</v>
      </c>
      <c r="G12" s="73">
        <v>0</v>
      </c>
      <c r="H12" s="73">
        <v>0</v>
      </c>
      <c r="I12" s="74">
        <v>0</v>
      </c>
      <c r="J12" s="73">
        <v>0</v>
      </c>
      <c r="K12" s="73">
        <v>0</v>
      </c>
      <c r="L12" s="74" t="s">
        <v>94</v>
      </c>
      <c r="M12" s="70">
        <f t="shared" si="1"/>
        <v>355623</v>
      </c>
      <c r="N12" s="70">
        <f t="shared" si="2"/>
        <v>354937</v>
      </c>
      <c r="O12" s="74">
        <f t="shared" si="3"/>
        <v>0.99807099090891194</v>
      </c>
    </row>
    <row r="13" spans="2:15" x14ac:dyDescent="0.25">
      <c r="B13" s="68">
        <v>29</v>
      </c>
      <c r="C13" s="69" t="s">
        <v>106</v>
      </c>
      <c r="D13" s="70">
        <f>VLOOKUP(B13,'01-01'!$A$6:$F$57,3,FALSE)</f>
        <v>923063</v>
      </c>
      <c r="E13" s="70">
        <f>VLOOKUP(B13,'01-01'!$A$6:$F$57,6,FALSE)</f>
        <v>887839</v>
      </c>
      <c r="F13" s="72">
        <f t="shared" si="0"/>
        <v>0.96184009108804058</v>
      </c>
      <c r="G13" s="73">
        <v>0</v>
      </c>
      <c r="H13" s="73">
        <v>0</v>
      </c>
      <c r="I13" s="74">
        <v>0</v>
      </c>
      <c r="J13" s="73">
        <v>0</v>
      </c>
      <c r="K13" s="73">
        <v>0</v>
      </c>
      <c r="L13" s="74" t="s">
        <v>94</v>
      </c>
      <c r="M13" s="70">
        <f t="shared" si="1"/>
        <v>923063</v>
      </c>
      <c r="N13" s="70">
        <f t="shared" si="2"/>
        <v>887839</v>
      </c>
      <c r="O13" s="74">
        <f t="shared" si="3"/>
        <v>0.96184009108804058</v>
      </c>
    </row>
    <row r="14" spans="2:15" hidden="1" x14ac:dyDescent="0.25">
      <c r="B14" s="102">
        <v>30</v>
      </c>
      <c r="C14" s="69" t="s">
        <v>132</v>
      </c>
      <c r="D14" s="70"/>
      <c r="E14" s="70"/>
      <c r="F14" s="72" t="e">
        <f t="shared" si="0"/>
        <v>#DIV/0!</v>
      </c>
      <c r="G14" s="73">
        <v>0</v>
      </c>
      <c r="H14" s="73">
        <v>0</v>
      </c>
      <c r="I14" s="74">
        <v>0</v>
      </c>
      <c r="J14" s="73">
        <v>0</v>
      </c>
      <c r="K14" s="73">
        <v>0</v>
      </c>
      <c r="L14" s="74" t="e">
        <f t="shared" si="4"/>
        <v>#DIV/0!</v>
      </c>
      <c r="M14" s="70">
        <f t="shared" si="1"/>
        <v>0</v>
      </c>
      <c r="N14" s="70">
        <f t="shared" si="2"/>
        <v>0</v>
      </c>
      <c r="O14" s="74" t="e">
        <f t="shared" si="3"/>
        <v>#DIV/0!</v>
      </c>
    </row>
    <row r="15" spans="2:15" x14ac:dyDescent="0.25">
      <c r="B15" s="68">
        <v>31</v>
      </c>
      <c r="C15" s="69" t="s">
        <v>107</v>
      </c>
      <c r="D15" s="70">
        <f>VLOOKUP(B15,'01-01'!$A$6:$F$57,3,FALSE)</f>
        <v>74971</v>
      </c>
      <c r="E15" s="73">
        <f>+'01-01'!F50</f>
        <v>17496</v>
      </c>
      <c r="F15" s="72">
        <f t="shared" si="0"/>
        <v>0.23337023649144337</v>
      </c>
      <c r="G15" s="73">
        <v>0</v>
      </c>
      <c r="H15" s="73">
        <v>0</v>
      </c>
      <c r="I15" s="74">
        <v>0</v>
      </c>
      <c r="J15" s="70">
        <f>VLOOKUP(B15,'01-50'!$A$6:$F$57,3,FALSE)</f>
        <v>1636000</v>
      </c>
      <c r="K15" s="70">
        <f>VLOOKUP(B15,'01-50'!$A$6:$F$57,6,FALSE)</f>
        <v>1126058</v>
      </c>
      <c r="L15" s="74">
        <f t="shared" si="4"/>
        <v>0.68829951100244502</v>
      </c>
      <c r="M15" s="70">
        <f t="shared" si="1"/>
        <v>1710971</v>
      </c>
      <c r="N15" s="70">
        <f t="shared" si="2"/>
        <v>1143554</v>
      </c>
      <c r="O15" s="74">
        <f t="shared" si="3"/>
        <v>0.66836550707171538</v>
      </c>
    </row>
    <row r="16" spans="2:15" x14ac:dyDescent="0.25">
      <c r="B16" s="68">
        <v>33</v>
      </c>
      <c r="C16" s="69" t="s">
        <v>75</v>
      </c>
      <c r="D16" s="70">
        <f>VLOOKUP(B16,'01-01'!$A$6:$F$57,3,FALSE)</f>
        <v>3147255</v>
      </c>
      <c r="E16" s="70">
        <f>VLOOKUP(B16,'01-01'!$A$6:$F$57,6,FALSE)</f>
        <v>3147255</v>
      </c>
      <c r="F16" s="72">
        <f t="shared" si="0"/>
        <v>1</v>
      </c>
      <c r="G16" s="73">
        <v>0</v>
      </c>
      <c r="H16" s="73">
        <v>0</v>
      </c>
      <c r="I16" s="74">
        <v>0</v>
      </c>
      <c r="J16" s="73">
        <v>0</v>
      </c>
      <c r="K16" s="73">
        <v>0</v>
      </c>
      <c r="L16" s="74" t="s">
        <v>94</v>
      </c>
      <c r="M16" s="70">
        <f t="shared" si="1"/>
        <v>3147255</v>
      </c>
      <c r="N16" s="70">
        <f t="shared" si="2"/>
        <v>3147255</v>
      </c>
      <c r="O16" s="74">
        <f t="shared" si="3"/>
        <v>1</v>
      </c>
    </row>
    <row r="17" spans="2:15" x14ac:dyDescent="0.25">
      <c r="B17" s="68">
        <v>34</v>
      </c>
      <c r="C17" s="69" t="s">
        <v>79</v>
      </c>
      <c r="D17" s="70">
        <f>VLOOKUP(B17,'01-01'!$A$6:$F$57,3,FALSE)</f>
        <v>3505324</v>
      </c>
      <c r="E17" s="70">
        <f>VLOOKUP(B17,'01-01'!$A$6:$F$57,6,FALSE)</f>
        <v>3501034</v>
      </c>
      <c r="F17" s="72">
        <f t="shared" si="0"/>
        <v>0.99877614736897358</v>
      </c>
      <c r="G17" s="70">
        <f>VLOOKUP(B17,'01-02'!$A$6:$F$26,3,FALSE)</f>
        <v>821156</v>
      </c>
      <c r="H17" s="70">
        <f>VLOOKUP(B17,'01-02'!$A$6:$F$26,6,FALSE)</f>
        <v>820598</v>
      </c>
      <c r="I17" s="74">
        <f>H17/G17</f>
        <v>0.99932047016644832</v>
      </c>
      <c r="J17" s="73">
        <v>0</v>
      </c>
      <c r="K17" s="73">
        <v>0</v>
      </c>
      <c r="L17" s="74" t="s">
        <v>94</v>
      </c>
      <c r="M17" s="70">
        <f t="shared" si="1"/>
        <v>4326480</v>
      </c>
      <c r="N17" s="70">
        <f t="shared" si="2"/>
        <v>4321632</v>
      </c>
      <c r="O17" s="74">
        <f t="shared" si="3"/>
        <v>0.99887945858989291</v>
      </c>
    </row>
    <row r="18" spans="2:15" x14ac:dyDescent="0.25">
      <c r="B18" s="68" t="s">
        <v>92</v>
      </c>
      <c r="C18" s="69" t="s">
        <v>27</v>
      </c>
      <c r="D18" s="70">
        <f>VLOOKUP(B18,'01-01'!$A$6:$F$57,3,FALSE)</f>
        <v>900</v>
      </c>
      <c r="E18" s="70">
        <f>VLOOKUP(B18,'01-01'!$A$6:$F$57,6,FALSE)</f>
        <v>0</v>
      </c>
      <c r="F18" s="72">
        <f t="shared" si="0"/>
        <v>0</v>
      </c>
      <c r="G18" s="70">
        <f>VLOOKUP(B18,'01-02'!$A$6:$F$26,3,FALSE)</f>
        <v>900</v>
      </c>
      <c r="H18" s="70">
        <f>VLOOKUP(B18,'01-02'!$A$6:$F$26,6,FALSE)</f>
        <v>0</v>
      </c>
      <c r="I18" s="74">
        <f>H18/G18</f>
        <v>0</v>
      </c>
      <c r="J18" s="73">
        <v>0</v>
      </c>
      <c r="K18" s="73">
        <v>0</v>
      </c>
      <c r="L18" s="74" t="s">
        <v>94</v>
      </c>
      <c r="M18" s="70">
        <f t="shared" si="1"/>
        <v>1800</v>
      </c>
      <c r="N18" s="70">
        <f t="shared" si="2"/>
        <v>0</v>
      </c>
      <c r="O18" s="74">
        <f t="shared" si="3"/>
        <v>0</v>
      </c>
    </row>
    <row r="19" spans="2:15" x14ac:dyDescent="0.25">
      <c r="B19" s="119" t="s">
        <v>93</v>
      </c>
      <c r="C19" s="120"/>
      <c r="D19" s="71">
        <f>SUM(D8:D18)</f>
        <v>90872455</v>
      </c>
      <c r="E19" s="71">
        <f>SUM(E8:E18)</f>
        <v>89154109</v>
      </c>
      <c r="F19" s="75">
        <f t="shared" si="0"/>
        <v>0.98109057359570617</v>
      </c>
      <c r="G19" s="71">
        <f>SUM(G8:G18)</f>
        <v>43576847</v>
      </c>
      <c r="H19" s="71">
        <f>SUM(H8:H18)</f>
        <v>42441318</v>
      </c>
      <c r="I19" s="75">
        <f>H19/G19</f>
        <v>0.97394191920310347</v>
      </c>
      <c r="J19" s="71">
        <f>SUM(J8:J18)</f>
        <v>14036500</v>
      </c>
      <c r="K19" s="71">
        <f>SUM(K8:K18)</f>
        <v>13423587</v>
      </c>
      <c r="L19" s="75">
        <f>K19/J19</f>
        <v>0.95633434260677519</v>
      </c>
      <c r="M19" s="71">
        <f>SUM(M8:M18)</f>
        <v>148485802</v>
      </c>
      <c r="N19" s="71">
        <f>SUM(N8:N18)</f>
        <v>145019014</v>
      </c>
      <c r="O19" s="75">
        <f>N19/M19</f>
        <v>0.9766523940113816</v>
      </c>
    </row>
    <row r="23" spans="2:15" x14ac:dyDescent="0.25">
      <c r="B23" s="130" t="s">
        <v>100</v>
      </c>
      <c r="C23" s="130" t="s">
        <v>101</v>
      </c>
      <c r="D23" s="133" t="s">
        <v>102</v>
      </c>
      <c r="E23" s="134"/>
      <c r="F23" s="135"/>
    </row>
    <row r="24" spans="2:15" ht="25.5" customHeight="1" x14ac:dyDescent="0.25">
      <c r="B24" s="131"/>
      <c r="C24" s="131"/>
      <c r="D24" s="136" t="s">
        <v>108</v>
      </c>
      <c r="E24" s="137"/>
      <c r="F24" s="138"/>
    </row>
    <row r="25" spans="2:15" x14ac:dyDescent="0.25">
      <c r="B25" s="131"/>
      <c r="C25" s="131"/>
      <c r="D25" s="130" t="s">
        <v>2</v>
      </c>
      <c r="E25" s="130" t="s">
        <v>99</v>
      </c>
      <c r="F25" s="76" t="s">
        <v>105</v>
      </c>
    </row>
    <row r="26" spans="2:15" x14ac:dyDescent="0.25">
      <c r="B26" s="132"/>
      <c r="C26" s="132"/>
      <c r="D26" s="132"/>
      <c r="E26" s="132"/>
      <c r="F26" s="77" t="s">
        <v>99</v>
      </c>
    </row>
    <row r="27" spans="2:15" x14ac:dyDescent="0.25">
      <c r="B27" s="78">
        <v>21</v>
      </c>
      <c r="C27" s="79" t="s">
        <v>9</v>
      </c>
      <c r="D27" s="90" t="e">
        <f>VLOOKUP(B27,#REF!,3,FALSE)</f>
        <v>#REF!</v>
      </c>
      <c r="E27" s="90" t="e">
        <f>VLOOKUP(B27,#REF!,6,FALSE)</f>
        <v>#REF!</v>
      </c>
      <c r="F27" s="91" t="e">
        <f>E27/D27</f>
        <v>#REF!</v>
      </c>
    </row>
    <row r="28" spans="2:15" x14ac:dyDescent="0.25">
      <c r="B28" s="78">
        <v>22</v>
      </c>
      <c r="C28" s="79" t="s">
        <v>16</v>
      </c>
      <c r="D28" s="90" t="e">
        <f>VLOOKUP(B28,#REF!,3,FALSE)</f>
        <v>#REF!</v>
      </c>
      <c r="E28" s="90" t="e">
        <f>VLOOKUP(B28,#REF!,6,FALSE)</f>
        <v>#REF!</v>
      </c>
      <c r="F28" s="91" t="e">
        <f t="shared" ref="F28:F33" si="5">E28/D28</f>
        <v>#REF!</v>
      </c>
    </row>
    <row r="29" spans="2:15" x14ac:dyDescent="0.25">
      <c r="B29" s="78">
        <v>24</v>
      </c>
      <c r="C29" s="79" t="s">
        <v>31</v>
      </c>
      <c r="D29" s="90" t="e">
        <f>+#REF!</f>
        <v>#REF!</v>
      </c>
      <c r="E29" s="90" t="e">
        <f>+#REF!</f>
        <v>#REF!</v>
      </c>
      <c r="F29" s="91" t="e">
        <f t="shared" si="5"/>
        <v>#REF!</v>
      </c>
    </row>
    <row r="30" spans="2:15" ht="25.5" x14ac:dyDescent="0.25">
      <c r="B30" s="78">
        <v>29</v>
      </c>
      <c r="C30" s="79" t="s">
        <v>106</v>
      </c>
      <c r="D30" s="90" t="e">
        <f>VLOOKUP(B30,#REF!,3,FALSE)</f>
        <v>#REF!</v>
      </c>
      <c r="E30" s="90" t="e">
        <f>VLOOKUP(B30,#REF!,6,FALSE)</f>
        <v>#REF!</v>
      </c>
      <c r="F30" s="91" t="e">
        <f t="shared" si="5"/>
        <v>#REF!</v>
      </c>
    </row>
    <row r="31" spans="2:15" x14ac:dyDescent="0.25">
      <c r="B31" s="78">
        <v>34</v>
      </c>
      <c r="C31" s="79" t="s">
        <v>79</v>
      </c>
      <c r="D31" s="90" t="e">
        <f>VLOOKUP(B31,#REF!,3,FALSE)</f>
        <v>#REF!</v>
      </c>
      <c r="E31" s="90" t="e">
        <f>VLOOKUP(B31,#REF!,6,FALSE)</f>
        <v>#REF!</v>
      </c>
      <c r="F31" s="91" t="e">
        <f t="shared" si="5"/>
        <v>#REF!</v>
      </c>
    </row>
    <row r="32" spans="2:15" x14ac:dyDescent="0.25">
      <c r="B32" s="78">
        <v>35</v>
      </c>
      <c r="C32" s="79" t="s">
        <v>27</v>
      </c>
      <c r="D32" s="90" t="e">
        <f>VLOOKUP(B32,#REF!,3,FALSE)</f>
        <v>#REF!</v>
      </c>
      <c r="E32" s="90" t="e">
        <f>VLOOKUP(B32,#REF!,6,FALSE)</f>
        <v>#REF!</v>
      </c>
      <c r="F32" s="91" t="e">
        <f t="shared" si="5"/>
        <v>#REF!</v>
      </c>
    </row>
    <row r="33" spans="2:18" x14ac:dyDescent="0.25">
      <c r="B33" s="127" t="s">
        <v>93</v>
      </c>
      <c r="C33" s="128"/>
      <c r="D33" s="80" t="e">
        <f>SUM(D27:D32)</f>
        <v>#REF!</v>
      </c>
      <c r="E33" s="80" t="e">
        <f>SUM(E27:E32)</f>
        <v>#REF!</v>
      </c>
      <c r="F33" s="85" t="e">
        <f t="shared" si="5"/>
        <v>#REF!</v>
      </c>
    </row>
    <row r="36" spans="2:18" x14ac:dyDescent="0.25">
      <c r="B36" s="117" t="s">
        <v>100</v>
      </c>
      <c r="C36" s="117" t="s">
        <v>101</v>
      </c>
      <c r="D36" s="121" t="s">
        <v>102</v>
      </c>
      <c r="E36" s="122"/>
      <c r="F36" s="123"/>
      <c r="G36" s="121" t="s">
        <v>103</v>
      </c>
      <c r="H36" s="122"/>
      <c r="I36" s="123"/>
      <c r="J36" s="121" t="s">
        <v>111</v>
      </c>
      <c r="K36" s="122"/>
      <c r="L36" s="123"/>
      <c r="M36" s="121" t="s">
        <v>133</v>
      </c>
      <c r="N36" s="122"/>
      <c r="O36" s="123"/>
      <c r="P36" s="121" t="s">
        <v>28</v>
      </c>
      <c r="Q36" s="122"/>
      <c r="R36" s="123"/>
    </row>
    <row r="37" spans="2:18" ht="16.5" customHeight="1" x14ac:dyDescent="0.25">
      <c r="B37" s="129"/>
      <c r="C37" s="129"/>
      <c r="D37" s="124" t="s">
        <v>109</v>
      </c>
      <c r="E37" s="125"/>
      <c r="F37" s="126"/>
      <c r="G37" s="124" t="s">
        <v>110</v>
      </c>
      <c r="H37" s="125"/>
      <c r="I37" s="126"/>
      <c r="J37" s="124" t="s">
        <v>112</v>
      </c>
      <c r="K37" s="125"/>
      <c r="L37" s="126"/>
      <c r="M37" s="124" t="s">
        <v>132</v>
      </c>
      <c r="N37" s="125"/>
      <c r="O37" s="126"/>
      <c r="P37" s="124" t="s">
        <v>109</v>
      </c>
      <c r="Q37" s="125"/>
      <c r="R37" s="126"/>
    </row>
    <row r="38" spans="2:18" x14ac:dyDescent="0.25">
      <c r="B38" s="129"/>
      <c r="C38" s="129"/>
      <c r="D38" s="117" t="s">
        <v>2</v>
      </c>
      <c r="E38" s="117" t="s">
        <v>99</v>
      </c>
      <c r="F38" s="103" t="s">
        <v>105</v>
      </c>
      <c r="G38" s="117" t="s">
        <v>2</v>
      </c>
      <c r="H38" s="117" t="s">
        <v>99</v>
      </c>
      <c r="I38" s="103" t="s">
        <v>105</v>
      </c>
      <c r="J38" s="117" t="s">
        <v>2</v>
      </c>
      <c r="K38" s="117" t="s">
        <v>99</v>
      </c>
      <c r="L38" s="103" t="s">
        <v>105</v>
      </c>
      <c r="M38" s="117" t="s">
        <v>2</v>
      </c>
      <c r="N38" s="117" t="s">
        <v>99</v>
      </c>
      <c r="O38" s="103" t="s">
        <v>105</v>
      </c>
      <c r="P38" s="117" t="s">
        <v>2</v>
      </c>
      <c r="Q38" s="117" t="s">
        <v>99</v>
      </c>
      <c r="R38" s="103" t="s">
        <v>105</v>
      </c>
    </row>
    <row r="39" spans="2:18" x14ac:dyDescent="0.25">
      <c r="B39" s="118"/>
      <c r="C39" s="118"/>
      <c r="D39" s="118"/>
      <c r="E39" s="118"/>
      <c r="F39" s="104" t="s">
        <v>99</v>
      </c>
      <c r="G39" s="118"/>
      <c r="H39" s="118"/>
      <c r="I39" s="104" t="s">
        <v>99</v>
      </c>
      <c r="J39" s="118"/>
      <c r="K39" s="118"/>
      <c r="L39" s="104" t="s">
        <v>99</v>
      </c>
      <c r="M39" s="118"/>
      <c r="N39" s="118"/>
      <c r="O39" s="104" t="s">
        <v>99</v>
      </c>
      <c r="P39" s="118"/>
      <c r="Q39" s="118"/>
      <c r="R39" s="104" t="s">
        <v>99</v>
      </c>
    </row>
    <row r="40" spans="2:18" x14ac:dyDescent="0.25">
      <c r="B40" s="68">
        <v>21</v>
      </c>
      <c r="C40" s="69" t="s">
        <v>9</v>
      </c>
      <c r="D40" s="70" t="e">
        <f>VLOOKUP(B40,#REF!,3,FALSE)</f>
        <v>#REF!</v>
      </c>
      <c r="E40" s="70" t="e">
        <f>VLOOKUP(B40,#REF!,6,FALSE)</f>
        <v>#REF!</v>
      </c>
      <c r="F40" s="74" t="e">
        <f>E40/D40</f>
        <v>#REF!</v>
      </c>
      <c r="G40" s="70" t="e">
        <f>VLOOKUP(B40,#REF!,3,FALSE)</f>
        <v>#REF!</v>
      </c>
      <c r="H40" s="70" t="e">
        <f>VLOOKUP(B40,#REF!,6,FALSE)</f>
        <v>#REF!</v>
      </c>
      <c r="I40" s="74" t="e">
        <f>H40/G40</f>
        <v>#REF!</v>
      </c>
      <c r="J40" s="70" t="e">
        <f>VLOOKUP(B40,#REF!,3,FALSE)</f>
        <v>#REF!</v>
      </c>
      <c r="K40" s="70" t="e">
        <f>VLOOKUP(B40,#REF!,6,FALSE)</f>
        <v>#REF!</v>
      </c>
      <c r="L40" s="74" t="e">
        <f>K40/J40</f>
        <v>#REF!</v>
      </c>
      <c r="M40" s="70" t="e">
        <f>VLOOKUP(B40,#REF!,3,FALSE)</f>
        <v>#REF!</v>
      </c>
      <c r="N40" s="70" t="e">
        <f>VLOOKUP(B40,#REF!,6,FALSE)</f>
        <v>#REF!</v>
      </c>
      <c r="O40" s="72" t="e">
        <f>+N40/M40</f>
        <v>#REF!</v>
      </c>
      <c r="P40" s="70" t="e">
        <f>D40+G40+J40+M40</f>
        <v>#REF!</v>
      </c>
      <c r="Q40" s="70" t="e">
        <f>E40+H40+K40+N40</f>
        <v>#REF!</v>
      </c>
      <c r="R40" s="74" t="e">
        <f>Q40/P40</f>
        <v>#REF!</v>
      </c>
    </row>
    <row r="41" spans="2:18" x14ac:dyDescent="0.25">
      <c r="B41" s="68">
        <v>22</v>
      </c>
      <c r="C41" s="69" t="s">
        <v>16</v>
      </c>
      <c r="D41" s="70" t="e">
        <f>VLOOKUP(B41,#REF!,3,FALSE)</f>
        <v>#REF!</v>
      </c>
      <c r="E41" s="70" t="e">
        <f>VLOOKUP(B41,#REF!,6,FALSE)</f>
        <v>#REF!</v>
      </c>
      <c r="F41" s="74" t="e">
        <f t="shared" ref="F41:F51" si="6">E41/D41</f>
        <v>#REF!</v>
      </c>
      <c r="G41" s="70" t="e">
        <f>VLOOKUP(B41,#REF!,3,FALSE)</f>
        <v>#REF!</v>
      </c>
      <c r="H41" s="70" t="e">
        <f>VLOOKUP(B41,#REF!,6,FALSE)</f>
        <v>#REF!</v>
      </c>
      <c r="I41" s="74" t="e">
        <f t="shared" ref="I41:I51" si="7">H41/G41</f>
        <v>#REF!</v>
      </c>
      <c r="J41" s="70" t="e">
        <f>VLOOKUP(B41,#REF!,3,FALSE)</f>
        <v>#REF!</v>
      </c>
      <c r="K41" s="70" t="e">
        <f>VLOOKUP(B41,#REF!,6,FALSE)</f>
        <v>#REF!</v>
      </c>
      <c r="L41" s="74" t="e">
        <f t="shared" ref="L41:L51" si="8">K41/J41</f>
        <v>#REF!</v>
      </c>
      <c r="M41" s="70" t="e">
        <f>VLOOKUP(B41,#REF!,3,FALSE)</f>
        <v>#REF!</v>
      </c>
      <c r="N41" s="70" t="e">
        <f>VLOOKUP(B41,#REF!,6,FALSE)</f>
        <v>#REF!</v>
      </c>
      <c r="O41" s="72" t="e">
        <f>+N41/M41</f>
        <v>#REF!</v>
      </c>
      <c r="P41" s="70" t="e">
        <f t="shared" ref="P41:P50" si="9">D41+G41+J41+M41</f>
        <v>#REF!</v>
      </c>
      <c r="Q41" s="70" t="e">
        <f t="shared" ref="Q41:Q50" si="10">E41+H41+K41+N41</f>
        <v>#REF!</v>
      </c>
      <c r="R41" s="74" t="e">
        <f t="shared" ref="R41:R51" si="11">Q41/P41</f>
        <v>#REF!</v>
      </c>
    </row>
    <row r="42" spans="2:18" x14ac:dyDescent="0.25">
      <c r="B42" s="68">
        <v>23</v>
      </c>
      <c r="C42" s="69" t="s">
        <v>30</v>
      </c>
      <c r="D42" s="70" t="e">
        <f>VLOOKUP(B42,#REF!,3,FALSE)</f>
        <v>#REF!</v>
      </c>
      <c r="E42" s="70" t="e">
        <f>VLOOKUP(B42,#REF!,6,FALSE)</f>
        <v>#REF!</v>
      </c>
      <c r="F42" s="74" t="e">
        <f t="shared" si="6"/>
        <v>#REF!</v>
      </c>
      <c r="G42" s="73">
        <v>0</v>
      </c>
      <c r="H42" s="73">
        <v>0</v>
      </c>
      <c r="I42" s="73">
        <v>0</v>
      </c>
      <c r="J42" s="73">
        <v>0</v>
      </c>
      <c r="K42" s="73">
        <v>0</v>
      </c>
      <c r="L42" s="73">
        <v>0</v>
      </c>
      <c r="M42" s="73">
        <v>0</v>
      </c>
      <c r="N42" s="73">
        <v>0</v>
      </c>
      <c r="O42" s="73" t="s">
        <v>94</v>
      </c>
      <c r="P42" s="70" t="e">
        <f t="shared" si="9"/>
        <v>#REF!</v>
      </c>
      <c r="Q42" s="70" t="e">
        <f t="shared" si="10"/>
        <v>#REF!</v>
      </c>
      <c r="R42" s="74" t="e">
        <f t="shared" si="11"/>
        <v>#REF!</v>
      </c>
    </row>
    <row r="43" spans="2:18" x14ac:dyDescent="0.25">
      <c r="B43" s="68">
        <v>24</v>
      </c>
      <c r="C43" s="69" t="s">
        <v>31</v>
      </c>
      <c r="D43" s="70" t="e">
        <f>VLOOKUP(B43,#REF!,3,FALSE)</f>
        <v>#REF!</v>
      </c>
      <c r="E43" s="70" t="e">
        <f>VLOOKUP(B43,#REF!,6,FALSE)</f>
        <v>#REF!</v>
      </c>
      <c r="F43" s="74" t="e">
        <f t="shared" si="6"/>
        <v>#REF!</v>
      </c>
      <c r="G43" s="73">
        <v>0</v>
      </c>
      <c r="H43" s="73">
        <v>0</v>
      </c>
      <c r="I43" s="73">
        <v>0</v>
      </c>
      <c r="J43" s="73">
        <v>0</v>
      </c>
      <c r="K43" s="73">
        <v>0</v>
      </c>
      <c r="L43" s="73">
        <v>0</v>
      </c>
      <c r="M43" s="70" t="e">
        <f>VLOOKUP(B43,#REF!,3,FALSE)</f>
        <v>#REF!</v>
      </c>
      <c r="N43" s="70" t="e">
        <f>VLOOKUP(B43,#REF!,6,FALSE)</f>
        <v>#REF!</v>
      </c>
      <c r="O43" s="72" t="e">
        <f>+N43/M43</f>
        <v>#REF!</v>
      </c>
      <c r="P43" s="70" t="e">
        <f t="shared" si="9"/>
        <v>#REF!</v>
      </c>
      <c r="Q43" s="70" t="e">
        <f t="shared" si="10"/>
        <v>#REF!</v>
      </c>
      <c r="R43" s="74" t="e">
        <f t="shared" si="11"/>
        <v>#REF!</v>
      </c>
    </row>
    <row r="44" spans="2:18" x14ac:dyDescent="0.25">
      <c r="B44" s="68">
        <v>25</v>
      </c>
      <c r="C44" s="69" t="s">
        <v>71</v>
      </c>
      <c r="D44" s="70" t="e">
        <f>VLOOKUP(B44,#REF!,3,FALSE)</f>
        <v>#REF!</v>
      </c>
      <c r="E44" s="70" t="e">
        <f>VLOOKUP(B44,#REF!,6,FALSE)</f>
        <v>#REF!</v>
      </c>
      <c r="F44" s="74" t="e">
        <f t="shared" si="6"/>
        <v>#REF!</v>
      </c>
      <c r="G44" s="70" t="e">
        <f>VLOOKUP(B44,#REF!,3,FALSE)</f>
        <v>#REF!</v>
      </c>
      <c r="H44" s="70" t="e">
        <f>VLOOKUP(B44,#REF!,6,FALSE)</f>
        <v>#REF!</v>
      </c>
      <c r="I44" s="74" t="e">
        <f t="shared" si="7"/>
        <v>#REF!</v>
      </c>
      <c r="J44" s="73">
        <v>0</v>
      </c>
      <c r="K44" s="73">
        <v>0</v>
      </c>
      <c r="L44" s="73">
        <v>0</v>
      </c>
      <c r="M44" s="73">
        <v>0</v>
      </c>
      <c r="N44" s="73">
        <v>0</v>
      </c>
      <c r="O44" s="73" t="s">
        <v>94</v>
      </c>
      <c r="P44" s="70" t="e">
        <f t="shared" si="9"/>
        <v>#REF!</v>
      </c>
      <c r="Q44" s="70" t="e">
        <f t="shared" si="10"/>
        <v>#REF!</v>
      </c>
      <c r="R44" s="74" t="e">
        <f t="shared" si="11"/>
        <v>#REF!</v>
      </c>
    </row>
    <row r="45" spans="2:18" x14ac:dyDescent="0.25">
      <c r="B45" s="68">
        <v>29</v>
      </c>
      <c r="C45" s="69" t="s">
        <v>106</v>
      </c>
      <c r="D45" s="70" t="e">
        <f>VLOOKUP(B45,#REF!,3,FALSE)</f>
        <v>#REF!</v>
      </c>
      <c r="E45" s="70" t="e">
        <f>VLOOKUP(B45,#REF!,6,FALSE)</f>
        <v>#REF!</v>
      </c>
      <c r="F45" s="74" t="e">
        <f t="shared" si="6"/>
        <v>#REF!</v>
      </c>
      <c r="G45" s="70" t="e">
        <f>VLOOKUP(B45,#REF!,3,FALSE)</f>
        <v>#REF!</v>
      </c>
      <c r="H45" s="70" t="e">
        <f>VLOOKUP(B45,#REF!,6,FALSE)</f>
        <v>#REF!</v>
      </c>
      <c r="I45" s="74" t="e">
        <f t="shared" si="7"/>
        <v>#REF!</v>
      </c>
      <c r="J45" s="70" t="e">
        <f>VLOOKUP(B45,#REF!,3,FALSE)</f>
        <v>#REF!</v>
      </c>
      <c r="K45" s="70" t="e">
        <f>VLOOKUP(B45,#REF!,6,FALSE)</f>
        <v>#REF!</v>
      </c>
      <c r="L45" s="74" t="e">
        <f t="shared" si="8"/>
        <v>#REF!</v>
      </c>
      <c r="M45" s="70" t="e">
        <f>VLOOKUP(B45,#REF!,3,FALSE)</f>
        <v>#REF!</v>
      </c>
      <c r="N45" s="70" t="e">
        <f>VLOOKUP(B45,#REF!,6,FALSE)</f>
        <v>#REF!</v>
      </c>
      <c r="O45" s="72" t="e">
        <f>+N45/M45</f>
        <v>#REF!</v>
      </c>
      <c r="P45" s="70" t="e">
        <f t="shared" si="9"/>
        <v>#REF!</v>
      </c>
      <c r="Q45" s="70" t="e">
        <f t="shared" si="10"/>
        <v>#REF!</v>
      </c>
      <c r="R45" s="74" t="e">
        <f t="shared" si="11"/>
        <v>#REF!</v>
      </c>
    </row>
    <row r="46" spans="2:18" hidden="1" x14ac:dyDescent="0.25">
      <c r="B46" s="68">
        <v>30</v>
      </c>
      <c r="C46" s="69" t="s">
        <v>132</v>
      </c>
      <c r="D46" s="70" t="e">
        <f>VLOOKUP(B46,#REF!,3,FALSE)</f>
        <v>#REF!</v>
      </c>
      <c r="E46" s="70" t="e">
        <f>VLOOKUP(B46,#REF!,6,FALSE)</f>
        <v>#REF!</v>
      </c>
      <c r="F46" s="74" t="e">
        <f t="shared" si="6"/>
        <v>#REF!</v>
      </c>
      <c r="G46" s="73">
        <v>0</v>
      </c>
      <c r="H46" s="73">
        <v>0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 t="s">
        <v>94</v>
      </c>
      <c r="P46" s="70" t="e">
        <f t="shared" si="9"/>
        <v>#REF!</v>
      </c>
      <c r="Q46" s="70" t="e">
        <f t="shared" si="10"/>
        <v>#REF!</v>
      </c>
      <c r="R46" s="74"/>
    </row>
    <row r="47" spans="2:18" x14ac:dyDescent="0.25">
      <c r="B47" s="68">
        <v>31</v>
      </c>
      <c r="C47" s="69" t="s">
        <v>107</v>
      </c>
      <c r="D47" s="70" t="e">
        <f>VLOOKUP(B47,#REF!,3,FALSE)</f>
        <v>#REF!</v>
      </c>
      <c r="E47" s="70" t="e">
        <f>VLOOKUP(B47,#REF!,6,FALSE)</f>
        <v>#REF!</v>
      </c>
      <c r="F47" s="74" t="e">
        <f t="shared" si="6"/>
        <v>#REF!</v>
      </c>
      <c r="G47" s="73">
        <v>0</v>
      </c>
      <c r="H47" s="73">
        <v>0</v>
      </c>
      <c r="I47" s="73">
        <v>0</v>
      </c>
      <c r="J47" s="73">
        <v>0</v>
      </c>
      <c r="K47" s="73">
        <v>0</v>
      </c>
      <c r="L47" s="73">
        <v>0</v>
      </c>
      <c r="M47" s="70" t="e">
        <f>VLOOKUP(B47,#REF!,3,FALSE)</f>
        <v>#REF!</v>
      </c>
      <c r="N47" s="70" t="e">
        <f>VLOOKUP(B47,#REF!,6,FALSE)</f>
        <v>#REF!</v>
      </c>
      <c r="O47" s="72" t="e">
        <f>+N47/M47</f>
        <v>#REF!</v>
      </c>
      <c r="P47" s="70" t="e">
        <f t="shared" si="9"/>
        <v>#REF!</v>
      </c>
      <c r="Q47" s="70" t="e">
        <f t="shared" si="10"/>
        <v>#REF!</v>
      </c>
      <c r="R47" s="74" t="e">
        <f t="shared" si="11"/>
        <v>#REF!</v>
      </c>
    </row>
    <row r="48" spans="2:18" x14ac:dyDescent="0.25">
      <c r="B48" s="68">
        <v>33</v>
      </c>
      <c r="C48" s="69" t="s">
        <v>75</v>
      </c>
      <c r="D48" s="70" t="e">
        <f>VLOOKUP(B48,#REF!,3,FALSE)</f>
        <v>#REF!</v>
      </c>
      <c r="E48" s="70" t="e">
        <f>VLOOKUP(B48,#REF!,6,FALSE)</f>
        <v>#REF!</v>
      </c>
      <c r="F48" s="74" t="e">
        <f t="shared" si="6"/>
        <v>#REF!</v>
      </c>
      <c r="G48" s="73">
        <v>0</v>
      </c>
      <c r="H48" s="73">
        <v>0</v>
      </c>
      <c r="I48" s="73">
        <v>0</v>
      </c>
      <c r="J48" s="73">
        <v>0</v>
      </c>
      <c r="K48" s="73">
        <v>0</v>
      </c>
      <c r="L48" s="73">
        <v>0</v>
      </c>
      <c r="M48" s="70" t="e">
        <f>VLOOKUP(B48,#REF!,3,FALSE)</f>
        <v>#REF!</v>
      </c>
      <c r="N48" s="70" t="e">
        <f>VLOOKUP(B48,#REF!,6,FALSE)</f>
        <v>#REF!</v>
      </c>
      <c r="O48" s="72" t="e">
        <f>+N48/M48</f>
        <v>#REF!</v>
      </c>
      <c r="P48" s="70" t="e">
        <f t="shared" si="9"/>
        <v>#REF!</v>
      </c>
      <c r="Q48" s="70" t="e">
        <f t="shared" si="10"/>
        <v>#REF!</v>
      </c>
      <c r="R48" s="74" t="e">
        <f t="shared" si="11"/>
        <v>#REF!</v>
      </c>
    </row>
    <row r="49" spans="2:18" x14ac:dyDescent="0.25">
      <c r="B49" s="68">
        <v>34</v>
      </c>
      <c r="C49" s="69" t="s">
        <v>79</v>
      </c>
      <c r="D49" s="70" t="e">
        <f>VLOOKUP(B49,#REF!,3,FALSE)</f>
        <v>#REF!</v>
      </c>
      <c r="E49" s="70" t="e">
        <f>VLOOKUP(B49,#REF!,6,FALSE)</f>
        <v>#REF!</v>
      </c>
      <c r="F49" s="74" t="e">
        <f t="shared" si="6"/>
        <v>#REF!</v>
      </c>
      <c r="G49" s="70" t="e">
        <f>VLOOKUP(B49,#REF!,3,FALSE)</f>
        <v>#REF!</v>
      </c>
      <c r="H49" s="70" t="e">
        <f>VLOOKUP(B49,#REF!,6,FALSE)</f>
        <v>#REF!</v>
      </c>
      <c r="I49" s="74" t="e">
        <f t="shared" si="7"/>
        <v>#REF!</v>
      </c>
      <c r="J49" s="70" t="e">
        <f>VLOOKUP(B49,#REF!,3,FALSE)</f>
        <v>#REF!</v>
      </c>
      <c r="K49" s="70" t="e">
        <f>VLOOKUP(B49,#REF!,6,FALSE)</f>
        <v>#REF!</v>
      </c>
      <c r="L49" s="74" t="e">
        <f t="shared" si="8"/>
        <v>#REF!</v>
      </c>
      <c r="M49" s="73">
        <v>0</v>
      </c>
      <c r="N49" s="73">
        <v>0</v>
      </c>
      <c r="O49" s="74" t="s">
        <v>94</v>
      </c>
      <c r="P49" s="70" t="e">
        <f t="shared" si="9"/>
        <v>#REF!</v>
      </c>
      <c r="Q49" s="70" t="e">
        <f t="shared" si="10"/>
        <v>#REF!</v>
      </c>
      <c r="R49" s="74" t="e">
        <f t="shared" si="11"/>
        <v>#REF!</v>
      </c>
    </row>
    <row r="50" spans="2:18" x14ac:dyDescent="0.25">
      <c r="B50" s="68">
        <v>35</v>
      </c>
      <c r="C50" s="69" t="s">
        <v>27</v>
      </c>
      <c r="D50" s="70" t="e">
        <f>VLOOKUP(B50,#REF!,3,FALSE)</f>
        <v>#REF!</v>
      </c>
      <c r="E50" s="70" t="e">
        <f>VLOOKUP(B50,#REF!,6,FALSE)</f>
        <v>#REF!</v>
      </c>
      <c r="F50" s="74" t="e">
        <f t="shared" si="6"/>
        <v>#REF!</v>
      </c>
      <c r="G50" s="70" t="e">
        <f>VLOOKUP(B50,#REF!,3,FALSE)</f>
        <v>#REF!</v>
      </c>
      <c r="H50" s="70" t="e">
        <f>VLOOKUP(B50,#REF!,6,FALSE)</f>
        <v>#REF!</v>
      </c>
      <c r="I50" s="74" t="e">
        <f t="shared" si="7"/>
        <v>#REF!</v>
      </c>
      <c r="J50" s="70" t="e">
        <f>VLOOKUP(B50,#REF!,3,FALSE)</f>
        <v>#REF!</v>
      </c>
      <c r="K50" s="70" t="e">
        <f>VLOOKUP(B50,#REF!,6,FALSE)</f>
        <v>#REF!</v>
      </c>
      <c r="L50" s="74" t="e">
        <f t="shared" si="8"/>
        <v>#REF!</v>
      </c>
      <c r="M50" s="73">
        <v>0</v>
      </c>
      <c r="N50" s="73">
        <v>0</v>
      </c>
      <c r="O50" s="74" t="s">
        <v>94</v>
      </c>
      <c r="P50" s="70" t="e">
        <f t="shared" si="9"/>
        <v>#REF!</v>
      </c>
      <c r="Q50" s="70" t="e">
        <f t="shared" si="10"/>
        <v>#REF!</v>
      </c>
      <c r="R50" s="74" t="e">
        <f t="shared" si="11"/>
        <v>#REF!</v>
      </c>
    </row>
    <row r="51" spans="2:18" x14ac:dyDescent="0.25">
      <c r="B51" s="119" t="s">
        <v>93</v>
      </c>
      <c r="C51" s="120"/>
      <c r="D51" s="71" t="e">
        <f>SUM(D40:D50)</f>
        <v>#REF!</v>
      </c>
      <c r="E51" s="71" t="e">
        <f>SUM(E40:E50)</f>
        <v>#REF!</v>
      </c>
      <c r="F51" s="75" t="e">
        <f t="shared" si="6"/>
        <v>#REF!</v>
      </c>
      <c r="G51" s="71" t="e">
        <f>SUM(G40:G50)</f>
        <v>#REF!</v>
      </c>
      <c r="H51" s="71" t="e">
        <f>SUM(H40:H50)</f>
        <v>#REF!</v>
      </c>
      <c r="I51" s="75" t="e">
        <f t="shared" si="7"/>
        <v>#REF!</v>
      </c>
      <c r="J51" s="71" t="e">
        <f>SUM(J40:J50)</f>
        <v>#REF!</v>
      </c>
      <c r="K51" s="71" t="e">
        <f>SUM(K40:K50)</f>
        <v>#REF!</v>
      </c>
      <c r="L51" s="75" t="e">
        <f t="shared" si="8"/>
        <v>#REF!</v>
      </c>
      <c r="M51" s="71" t="e">
        <f>SUM(M40:M50)</f>
        <v>#REF!</v>
      </c>
      <c r="N51" s="71" t="e">
        <f>SUM(N40:N50)</f>
        <v>#REF!</v>
      </c>
      <c r="O51" s="75" t="e">
        <f t="shared" ref="O51" si="12">N51/M51</f>
        <v>#REF!</v>
      </c>
      <c r="P51" s="71" t="e">
        <f>SUM(P40:P50)</f>
        <v>#REF!</v>
      </c>
      <c r="Q51" s="71" t="e">
        <f>SUM(Q40:Q50)</f>
        <v>#REF!</v>
      </c>
      <c r="R51" s="75" t="e">
        <f t="shared" si="11"/>
        <v>#REF!</v>
      </c>
    </row>
  </sheetData>
  <mergeCells count="49">
    <mergeCell ref="B4:B7"/>
    <mergeCell ref="C4:C7"/>
    <mergeCell ref="D4:F4"/>
    <mergeCell ref="D5:F5"/>
    <mergeCell ref="G4:I4"/>
    <mergeCell ref="G5:I5"/>
    <mergeCell ref="M4:O4"/>
    <mergeCell ref="M5:O5"/>
    <mergeCell ref="D6:D7"/>
    <mergeCell ref="E6:E7"/>
    <mergeCell ref="G6:G7"/>
    <mergeCell ref="H6:H7"/>
    <mergeCell ref="M6:M7"/>
    <mergeCell ref="N6:N7"/>
    <mergeCell ref="J4:L4"/>
    <mergeCell ref="J5:L5"/>
    <mergeCell ref="J6:J7"/>
    <mergeCell ref="K6:K7"/>
    <mergeCell ref="B19:C19"/>
    <mergeCell ref="B23:B26"/>
    <mergeCell ref="C23:C26"/>
    <mergeCell ref="D23:F23"/>
    <mergeCell ref="D24:F24"/>
    <mergeCell ref="D25:D26"/>
    <mergeCell ref="E25:E26"/>
    <mergeCell ref="M37:O37"/>
    <mergeCell ref="M38:M39"/>
    <mergeCell ref="B33:C33"/>
    <mergeCell ref="B36:B39"/>
    <mergeCell ref="C36:C39"/>
    <mergeCell ref="D36:F36"/>
    <mergeCell ref="D37:F37"/>
    <mergeCell ref="N38:N39"/>
    <mergeCell ref="P38:P39"/>
    <mergeCell ref="Q38:Q39"/>
    <mergeCell ref="B51:C51"/>
    <mergeCell ref="J36:L36"/>
    <mergeCell ref="J37:L37"/>
    <mergeCell ref="P36:R36"/>
    <mergeCell ref="P37:R37"/>
    <mergeCell ref="D38:D39"/>
    <mergeCell ref="E38:E39"/>
    <mergeCell ref="G38:G39"/>
    <mergeCell ref="H38:H39"/>
    <mergeCell ref="J38:J39"/>
    <mergeCell ref="K38:K39"/>
    <mergeCell ref="G36:I36"/>
    <mergeCell ref="G37:I37"/>
    <mergeCell ref="M36:O36"/>
  </mergeCells>
  <pageMargins left="0.7" right="0.7" top="0.75" bottom="0.75" header="0.3" footer="0.3"/>
  <pageSetup orientation="portrait" r:id="rId1"/>
  <ignoredErrors>
    <ignoredError sqref="F19 I19 D29:E29 L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Subsecretaría</vt:lpstr>
      <vt:lpstr>01-01</vt:lpstr>
      <vt:lpstr>01-02</vt:lpstr>
      <vt:lpstr>01-50</vt:lpstr>
      <vt:lpstr>Cuadros Diapo</vt:lpstr>
      <vt:lpstr>'01-01'!Área_de_impresión</vt:lpstr>
      <vt:lpstr>'01-02'!Área_de_impresión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Maureira Acevedo</dc:creator>
  <cp:lastModifiedBy>Raul Anabalon Maturana</cp:lastModifiedBy>
  <cp:lastPrinted>2019-09-12T17:58:51Z</cp:lastPrinted>
  <dcterms:created xsi:type="dcterms:W3CDTF">2019-01-04T16:19:15Z</dcterms:created>
  <dcterms:modified xsi:type="dcterms:W3CDTF">2022-02-08T15:33:37Z</dcterms:modified>
</cp:coreProperties>
</file>